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irca\Google Drive\Doctorate\Research\"/>
    </mc:Choice>
  </mc:AlternateContent>
  <xr:revisionPtr revIDLastSave="0" documentId="13_ncr:1_{91B09DFB-294C-4D9C-B7F6-F079D6DC451D}" xr6:coauthVersionLast="45" xr6:coauthVersionMax="45" xr10:uidLastSave="{00000000-0000-0000-0000-000000000000}"/>
  <bookViews>
    <workbookView xWindow="-120" yWindow="-120" windowWidth="38640" windowHeight="21240" activeTab="3" xr2:uid="{9004CCA2-EA6A-4BF0-B5E6-6D1FA13D0FD5}"/>
  </bookViews>
  <sheets>
    <sheet name="CodeBook" sheetId="2" r:id="rId1"/>
    <sheet name="Data" sheetId="1" r:id="rId2"/>
    <sheet name="Graphs" sheetId="3" r:id="rId3"/>
    <sheet name="Errors" sheetId="5" r:id="rId4"/>
    <sheet name="SUS" sheetId="4" r:id="rId5"/>
    <sheet name="Correlations" sheetId="6" r:id="rId6"/>
    <sheet name="Cop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3" i="1" s="1"/>
  <c r="I29" i="1"/>
  <c r="J27" i="1"/>
  <c r="J2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" i="1"/>
  <c r="U6" i="1"/>
  <c r="V6" i="1"/>
  <c r="U7" i="1"/>
  <c r="V7" i="1"/>
  <c r="U8" i="1"/>
  <c r="V8" i="1"/>
  <c r="U9" i="1"/>
  <c r="V9" i="1"/>
  <c r="U10" i="1"/>
  <c r="V10" i="1"/>
  <c r="U11" i="1"/>
  <c r="W11" i="1" s="1"/>
  <c r="V11" i="1"/>
  <c r="U12" i="1"/>
  <c r="V12" i="1"/>
  <c r="U13" i="1"/>
  <c r="V13" i="1"/>
  <c r="U14" i="1"/>
  <c r="V14" i="1"/>
  <c r="U15" i="1"/>
  <c r="W15" i="1" s="1"/>
  <c r="V15" i="1"/>
  <c r="U16" i="1"/>
  <c r="V16" i="1"/>
  <c r="U17" i="1"/>
  <c r="V17" i="1"/>
  <c r="U18" i="1"/>
  <c r="V18" i="1"/>
  <c r="U19" i="1"/>
  <c r="W19" i="1" s="1"/>
  <c r="V19" i="1"/>
  <c r="V2" i="1"/>
  <c r="W2" i="1" s="1"/>
  <c r="U2" i="1"/>
  <c r="G29" i="1"/>
  <c r="G27" i="1"/>
  <c r="G28" i="1"/>
  <c r="E29" i="1"/>
  <c r="F29" i="1"/>
  <c r="H29" i="1"/>
  <c r="D29" i="1"/>
  <c r="E28" i="1"/>
  <c r="F28" i="1"/>
  <c r="H28" i="1"/>
  <c r="I28" i="1"/>
  <c r="E27" i="1"/>
  <c r="F27" i="1"/>
  <c r="H27" i="1"/>
  <c r="I27" i="1"/>
  <c r="D28" i="1"/>
  <c r="D27" i="1"/>
  <c r="E22" i="1"/>
  <c r="F22" i="1"/>
  <c r="G22" i="1"/>
  <c r="H22" i="1"/>
  <c r="I22" i="1"/>
  <c r="D22" i="1"/>
  <c r="E21" i="1"/>
  <c r="F21" i="1"/>
  <c r="G21" i="1"/>
  <c r="Z7" i="1" s="1"/>
  <c r="H21" i="1"/>
  <c r="I21" i="1"/>
  <c r="D21" i="1"/>
  <c r="O6" i="5"/>
  <c r="O2" i="5"/>
  <c r="N2" i="5"/>
  <c r="L2" i="5"/>
  <c r="O3" i="5"/>
  <c r="N4" i="5"/>
  <c r="N5" i="5"/>
  <c r="N3" i="5"/>
  <c r="L4" i="5"/>
  <c r="L5" i="5"/>
  <c r="L3" i="5"/>
  <c r="B22" i="5"/>
  <c r="B23" i="5"/>
  <c r="J31" i="5" s="1"/>
  <c r="O4" i="5"/>
  <c r="O5" i="5"/>
  <c r="J29" i="1" l="1"/>
  <c r="J28" i="1"/>
  <c r="J24" i="1"/>
  <c r="W10" i="1"/>
  <c r="W13" i="1"/>
  <c r="W17" i="1"/>
  <c r="W9" i="1"/>
  <c r="W16" i="1"/>
  <c r="W18" i="1"/>
  <c r="W14" i="1"/>
  <c r="W6" i="1"/>
  <c r="W12" i="1"/>
  <c r="W8" i="1"/>
  <c r="W7" i="1"/>
  <c r="AA7" i="1"/>
  <c r="AA8" i="1"/>
  <c r="Z8" i="1"/>
  <c r="B24" i="5"/>
  <c r="J32" i="5" s="1"/>
  <c r="J30" i="5"/>
  <c r="K22" i="5"/>
  <c r="M22" i="5"/>
  <c r="O22" i="5"/>
  <c r="P22" i="5"/>
  <c r="Q22" i="5"/>
  <c r="R22" i="5"/>
  <c r="S22" i="5"/>
  <c r="K23" i="5"/>
  <c r="M23" i="5"/>
  <c r="O23" i="5"/>
  <c r="P23" i="5"/>
  <c r="Q23" i="5"/>
  <c r="R23" i="5"/>
  <c r="S23" i="5"/>
  <c r="K24" i="5"/>
  <c r="M24" i="5"/>
  <c r="O24" i="5"/>
  <c r="P24" i="5"/>
  <c r="Q24" i="5"/>
  <c r="R24" i="5"/>
  <c r="S24" i="5"/>
  <c r="B27" i="5"/>
  <c r="C27" i="5"/>
  <c r="D27" i="5"/>
  <c r="E27" i="5"/>
  <c r="F27" i="5"/>
  <c r="G27" i="5"/>
  <c r="H27" i="5"/>
  <c r="C26" i="5"/>
  <c r="D26" i="5"/>
  <c r="E26" i="5"/>
  <c r="F26" i="5"/>
  <c r="G26" i="5"/>
  <c r="H26" i="5"/>
  <c r="B26" i="5"/>
  <c r="D23" i="5"/>
  <c r="M31" i="5" s="1"/>
  <c r="D22" i="5"/>
  <c r="M30" i="5" s="1"/>
  <c r="E23" i="5"/>
  <c r="O31" i="5" s="1"/>
  <c r="C22" i="5"/>
  <c r="K30" i="5" s="1"/>
  <c r="E22" i="5"/>
  <c r="O30" i="5" s="1"/>
  <c r="F22" i="5"/>
  <c r="P30" i="5" s="1"/>
  <c r="G22" i="5"/>
  <c r="Q30" i="5" s="1"/>
  <c r="H22" i="5"/>
  <c r="R30" i="5" s="1"/>
  <c r="C23" i="5"/>
  <c r="K31" i="5" s="1"/>
  <c r="F23" i="5"/>
  <c r="P31" i="5" s="1"/>
  <c r="G23" i="5"/>
  <c r="Q31" i="5" s="1"/>
  <c r="H23" i="5"/>
  <c r="R31" i="5" s="1"/>
  <c r="D24" i="1"/>
  <c r="X29" i="1"/>
  <c r="X28" i="1"/>
  <c r="X27" i="1"/>
  <c r="K29" i="1"/>
  <c r="L29" i="1"/>
  <c r="M29" i="1"/>
  <c r="N29" i="1"/>
  <c r="O29" i="1"/>
  <c r="P29" i="1"/>
  <c r="Q29" i="1"/>
  <c r="R29" i="1"/>
  <c r="S29" i="1"/>
  <c r="T29" i="1"/>
  <c r="J30" i="1" l="1"/>
  <c r="W29" i="1"/>
  <c r="W27" i="1"/>
  <c r="W21" i="1"/>
  <c r="V21" i="1" s="1"/>
  <c r="W28" i="1"/>
  <c r="W22" i="1"/>
  <c r="W23" i="1" s="1"/>
  <c r="Y22" i="1"/>
  <c r="Y21" i="1"/>
  <c r="Z9" i="1"/>
  <c r="D30" i="1"/>
  <c r="O25" i="5"/>
  <c r="Q25" i="5"/>
  <c r="P25" i="5"/>
  <c r="M25" i="5"/>
  <c r="K25" i="5"/>
  <c r="S25" i="5"/>
  <c r="R25" i="5"/>
  <c r="C25" i="5"/>
  <c r="H29" i="5"/>
  <c r="B28" i="5"/>
  <c r="B30" i="5" s="1"/>
  <c r="E29" i="5"/>
  <c r="D29" i="5"/>
  <c r="D25" i="5"/>
  <c r="G28" i="5"/>
  <c r="C29" i="5"/>
  <c r="B29" i="5"/>
  <c r="F28" i="5"/>
  <c r="G24" i="5"/>
  <c r="Q32" i="5" s="1"/>
  <c r="H25" i="5"/>
  <c r="F24" i="5"/>
  <c r="P32" i="5" s="1"/>
  <c r="B25" i="5"/>
  <c r="G25" i="5"/>
  <c r="F25" i="5"/>
  <c r="E28" i="5"/>
  <c r="D24" i="5"/>
  <c r="M32" i="5" s="1"/>
  <c r="D28" i="5"/>
  <c r="G29" i="5"/>
  <c r="F29" i="5"/>
  <c r="E24" i="5"/>
  <c r="O32" i="5" s="1"/>
  <c r="H28" i="5"/>
  <c r="C28" i="5"/>
  <c r="H24" i="5"/>
  <c r="R32" i="5" s="1"/>
  <c r="C24" i="5"/>
  <c r="K32" i="5" s="1"/>
  <c r="D23" i="1"/>
  <c r="W24" i="1" l="1"/>
  <c r="Y23" i="1"/>
  <c r="G30" i="5"/>
  <c r="D30" i="5"/>
  <c r="F30" i="5"/>
  <c r="H30" i="5"/>
  <c r="E30" i="5"/>
  <c r="C30" i="5"/>
  <c r="X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X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T28" i="1"/>
  <c r="S28" i="1"/>
  <c r="R28" i="1"/>
  <c r="Q28" i="1"/>
  <c r="P28" i="1"/>
  <c r="O28" i="1"/>
  <c r="N28" i="1"/>
  <c r="M28" i="1"/>
  <c r="L28" i="1"/>
  <c r="K28" i="1"/>
  <c r="T27" i="1"/>
  <c r="S27" i="1"/>
  <c r="R27" i="1"/>
  <c r="Q27" i="1"/>
  <c r="P27" i="1"/>
  <c r="O27" i="1"/>
  <c r="N27" i="1"/>
  <c r="M27" i="1"/>
  <c r="L27" i="1"/>
  <c r="K27" i="1"/>
  <c r="X22" i="1"/>
  <c r="T22" i="1"/>
  <c r="S22" i="1"/>
  <c r="R22" i="1"/>
  <c r="Q22" i="1"/>
  <c r="P22" i="1"/>
  <c r="O22" i="1"/>
  <c r="N22" i="1"/>
  <c r="M22" i="1"/>
  <c r="L22" i="1"/>
  <c r="K22" i="1"/>
  <c r="X21" i="1"/>
  <c r="X24" i="1" s="1"/>
  <c r="X30" i="1" s="1"/>
  <c r="T21" i="1"/>
  <c r="S21" i="1"/>
  <c r="R21" i="1"/>
  <c r="Q21" i="1"/>
  <c r="P21" i="1"/>
  <c r="O21" i="1"/>
  <c r="O24" i="1" s="1"/>
  <c r="O30" i="1" s="1"/>
  <c r="N21" i="1"/>
  <c r="M21" i="1"/>
  <c r="L21" i="1"/>
  <c r="K21" i="1"/>
  <c r="H24" i="1"/>
  <c r="H30" i="1" s="1"/>
  <c r="G24" i="1"/>
  <c r="F24" i="1"/>
  <c r="F30" i="1" s="1"/>
  <c r="E24" i="1"/>
  <c r="E30" i="1" s="1"/>
  <c r="Z26" i="1" l="1"/>
  <c r="M24" i="1"/>
  <c r="M30" i="1" s="1"/>
  <c r="P24" i="1"/>
  <c r="P30" i="1" s="1"/>
  <c r="AA26" i="1"/>
  <c r="X23" i="1"/>
  <c r="AA27" i="1"/>
  <c r="L24" i="1"/>
  <c r="Z27" i="1"/>
  <c r="T24" i="1"/>
  <c r="T30" i="1" s="1"/>
  <c r="Q24" i="1"/>
  <c r="Q30" i="1" s="1"/>
  <c r="R24" i="1"/>
  <c r="R30" i="1" s="1"/>
  <c r="K24" i="1"/>
  <c r="S24" i="1"/>
  <c r="S30" i="1" s="1"/>
  <c r="G30" i="1"/>
  <c r="N24" i="1"/>
  <c r="N30" i="1" s="1"/>
  <c r="I24" i="1"/>
  <c r="I30" i="1" s="1"/>
  <c r="L23" i="1"/>
  <c r="F23" i="1"/>
  <c r="O23" i="1"/>
  <c r="G23" i="1"/>
  <c r="P23" i="1"/>
  <c r="H23" i="1"/>
  <c r="Q23" i="1"/>
  <c r="I23" i="1"/>
  <c r="R23" i="1"/>
  <c r="H34" i="1"/>
  <c r="H35" i="1" s="1"/>
  <c r="Q34" i="1"/>
  <c r="Q36" i="1" s="1"/>
  <c r="K23" i="1"/>
  <c r="S23" i="1"/>
  <c r="M23" i="1"/>
  <c r="T23" i="1"/>
  <c r="E23" i="1"/>
  <c r="N23" i="1"/>
  <c r="G34" i="1"/>
  <c r="G36" i="1" s="1"/>
  <c r="P34" i="1"/>
  <c r="P35" i="1" s="1"/>
  <c r="I34" i="1"/>
  <c r="I35" i="1" s="1"/>
  <c r="R34" i="1"/>
  <c r="R36" i="1" s="1"/>
  <c r="K34" i="1"/>
  <c r="K35" i="1" s="1"/>
  <c r="S34" i="1"/>
  <c r="S35" i="1" s="1"/>
  <c r="L34" i="1"/>
  <c r="L36" i="1" s="1"/>
  <c r="T34" i="1"/>
  <c r="T36" i="1" s="1"/>
  <c r="D34" i="1"/>
  <c r="D36" i="1" s="1"/>
  <c r="M34" i="1"/>
  <c r="M35" i="1" s="1"/>
  <c r="X34" i="1"/>
  <c r="X36" i="1" s="1"/>
  <c r="E34" i="1"/>
  <c r="E35" i="1" s="1"/>
  <c r="N34" i="1"/>
  <c r="N36" i="1" s="1"/>
  <c r="F34" i="1"/>
  <c r="F36" i="1" s="1"/>
  <c r="O34" i="1"/>
  <c r="O35" i="1" s="1"/>
  <c r="AA28" i="1" l="1"/>
  <c r="Z28" i="1"/>
  <c r="K30" i="1"/>
  <c r="AB26" i="1"/>
  <c r="AA10" i="1"/>
  <c r="L30" i="1"/>
  <c r="AB27" i="1"/>
  <c r="Z10" i="1"/>
  <c r="Q35" i="1"/>
  <c r="Q39" i="1" s="1"/>
  <c r="R35" i="1"/>
  <c r="R39" i="1" s="1"/>
  <c r="D35" i="1"/>
  <c r="D38" i="1" s="1"/>
  <c r="T35" i="1"/>
  <c r="T38" i="1" s="1"/>
  <c r="H36" i="1"/>
  <c r="H39" i="1" s="1"/>
  <c r="P36" i="1"/>
  <c r="P39" i="1" s="1"/>
  <c r="K36" i="1"/>
  <c r="K38" i="1" s="1"/>
  <c r="S36" i="1"/>
  <c r="S39" i="1" s="1"/>
  <c r="G35" i="1"/>
  <c r="G39" i="1" s="1"/>
  <c r="X35" i="1"/>
  <c r="X39" i="1" s="1"/>
  <c r="E36" i="1"/>
  <c r="E38" i="1" s="1"/>
  <c r="I36" i="1"/>
  <c r="I39" i="1" s="1"/>
  <c r="F35" i="1"/>
  <c r="M36" i="1"/>
  <c r="M39" i="1" s="1"/>
  <c r="T39" i="1"/>
  <c r="L35" i="1"/>
  <c r="N35" i="1"/>
  <c r="O36" i="1"/>
  <c r="O39" i="1" s="1"/>
  <c r="E39" i="1" l="1"/>
  <c r="D39" i="1"/>
  <c r="AC28" i="1"/>
  <c r="Q38" i="1"/>
  <c r="AB28" i="1"/>
  <c r="K39" i="1"/>
  <c r="X38" i="1"/>
  <c r="P38" i="1"/>
  <c r="S38" i="1"/>
  <c r="R38" i="1"/>
  <c r="H38" i="1"/>
  <c r="I38" i="1"/>
  <c r="G38" i="1"/>
  <c r="N38" i="1"/>
  <c r="N39" i="1"/>
  <c r="O38" i="1"/>
  <c r="L39" i="1"/>
  <c r="L38" i="1"/>
  <c r="F39" i="1"/>
  <c r="F38" i="1"/>
  <c r="M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TJ Matthews</author>
    <author>tc={7353BA0E-66DB-4FB9-AFB1-B662EF7B6119}</author>
    <author>tc={C447B083-E268-45FB-AD6B-F4676C41087E}</author>
    <author>tc={B43ED86E-777E-49EF-A977-3A111D0C56E9}</author>
    <author>tc={9C6D4496-E9A2-4207-83CA-2705B808577E}</author>
    <author>tc={CA090CB5-DF3D-4C45-B02E-5813319A4ABB}</author>
    <author>tc={DE578A71-DBBB-480A-8D03-F3EBFAB4A101}</author>
    <author>tc={CB11DE58-D7F6-4AE8-8E33-E7A30B544E47}</author>
    <author>tc={6217A721-3CBF-431D-B367-7E4A21666BB2}</author>
    <author>tc={8A77FC5F-85B5-4288-BA5D-EDF1964C1D41}</author>
    <author>tc={C6C03DBC-75C0-4C7B-A6BE-AB20957037F8}</author>
    <author>tc={FA8E3529-61C9-410F-A974-CF564122A793}</author>
    <author>tc={268A5EC4-6168-452E-B384-663BBF205653}</author>
    <author>tc={6BFC6DB7-AA3D-4D2E-B16A-0FAB1C810BF5}</author>
    <author>tc={BD540D63-C38E-4EFC-AA1E-104D4E658DFC}</author>
    <author>tc={716A21CC-8E05-432E-89D6-6B3107C52697}</author>
    <author>tc={AF6EC709-98A8-4875-910D-6E08D5341DC1}</author>
    <author>tc={3B1F4275-F533-4F87-8D23-C3DB4651DE8B}</author>
    <author>tc={4D1224C6-2C04-4590-B6EA-FC2581D8E453}</author>
    <author>tc={EFE229B2-9B67-4D47-91C2-D5CCBB5ED368}</author>
    <author>tc={5FACBAA7-3CE4-44A4-A8C3-18941030C8C9}</author>
    <author>tc={028DB698-0D90-4678-A4D5-D955CBA8AED0}</author>
    <author>tc={E940808D-F0D7-4A5D-999B-F17AAB4DC4FD}</author>
    <author>tc={282A35E1-F834-436B-AD40-4E9D6430B54B}</author>
    <author>tc={B38C7EFB-DE0E-47B8-910D-B7422D037584}</author>
    <author>tc={4AA08E60-DE92-4A6D-9813-166CF8465FF0}</author>
    <author>tc={C16D2154-54E9-4FDC-B68B-1EE5A7FFF7DB}</author>
    <author>tc={27062663-3D24-42E7-B351-20DD8A84F044}</author>
    <author>tc={B966E387-2D60-4C75-A664-B7EF9116420B}</author>
    <author>tc={1BCE9C1A-4D49-406A-BD93-358EE97B7579}</author>
    <author>tc={39716611-9F8D-4FE6-8B50-F3B0BCB0AF90}</author>
    <author>tc={B16AD42C-7638-4EAC-8E1B-76189D811331}</author>
    <author>tc={A48AF0F1-FBD6-4ABB-94E2-83BFDA615D3C}</author>
    <author>tc={39A228AA-CEA6-45FB-8C99-2C41E97922FB}</author>
    <author>tc={8124588B-FBAD-439E-9183-D5CEA18F9AFB}</author>
    <author>tc={A9D5123A-696E-4E31-BCA5-A7A1F3632827}</author>
    <author>tc={A3ED5964-0D79-477A-B91A-CCF5028AF790}</author>
    <author>tc={7819E943-E71F-4B6B-A637-884FAA02298F}</author>
    <author>tc={66AACD2E-2E05-4E2F-A843-A44708E2D37C}</author>
  </authors>
  <commentList>
    <comment ref="B1" authorId="0" shapeId="0" xr:uid="{6499FD6A-AE23-4D66-879E-6149594CE37D}">
      <text>
        <r>
          <rPr>
            <sz val="9"/>
            <color indexed="81"/>
            <rFont val="Tahoma"/>
            <family val="2"/>
          </rPr>
          <t>Interaction Errors</t>
        </r>
      </text>
    </comment>
    <comment ref="C1" authorId="0" shapeId="0" xr:uid="{540A40BD-9CBB-4BC6-A002-FF2C8A9A5FB2}">
      <text>
        <r>
          <rPr>
            <sz val="9"/>
            <color indexed="81"/>
            <rFont val="Tahoma"/>
            <family val="2"/>
          </rPr>
          <t>State Misinformation</t>
        </r>
      </text>
    </comment>
    <comment ref="D1" authorId="0" shapeId="0" xr:uid="{3F1D2CD5-A9AF-4D2F-83A8-648125123A8C}">
      <text>
        <r>
          <rPr>
            <sz val="9"/>
            <color indexed="81"/>
            <rFont val="Tahoma"/>
            <family val="2"/>
          </rPr>
          <t>Environment Awareness</t>
        </r>
      </text>
    </comment>
    <comment ref="E1" authorId="0" shapeId="0" xr:uid="{13B75CCA-C43D-4433-8FC2-F7FD62E76A56}">
      <text>
        <r>
          <rPr>
            <sz val="9"/>
            <color indexed="81"/>
            <rFont val="Tahoma"/>
            <family val="2"/>
          </rPr>
          <t>Uncoded Medication Requests</t>
        </r>
      </text>
    </comment>
    <comment ref="F1" authorId="0" shapeId="0" xr:uid="{DF72F2C4-B7EB-49C6-A42A-9D8DB133844C}">
      <text>
        <r>
          <rPr>
            <sz val="9"/>
            <color indexed="81"/>
            <rFont val="Tahoma"/>
            <family val="2"/>
          </rPr>
          <t>Uncoded Airway Request</t>
        </r>
      </text>
    </comment>
    <comment ref="G1" authorId="0" shapeId="0" xr:uid="{BB5FA58A-6B8A-4B34-911A-113ECFD9660D}">
      <text>
        <r>
          <rPr>
            <sz val="9"/>
            <color indexed="81"/>
            <rFont val="Tahoma"/>
            <family val="2"/>
          </rPr>
          <t>Uncoded Procedure Request</t>
        </r>
      </text>
    </comment>
    <comment ref="H1" authorId="0" shapeId="0" xr:uid="{725A144E-C837-47D5-8679-C9612BF4D424}">
      <text>
        <r>
          <rPr>
            <sz val="9"/>
            <color indexed="81"/>
            <rFont val="Tahoma"/>
            <family val="2"/>
          </rPr>
          <t>Action Order</t>
        </r>
      </text>
    </comment>
    <comment ref="B2" authorId="1" shapeId="0" xr:uid="{7353BA0E-66DB-4FB9-AFB1-B662EF7B6119}">
      <text>
        <t>[Threaded comment]
Your version of Excel allows you to read this threaded comment; however, any edits to it will get removed if the file is opened in a newer version of Excel. Learn more: https://go.microsoft.com/fwlink/?linkid=870924
Comment:
    Accidentally pressed back
Reply:
    Accidental selection</t>
      </text>
    </comment>
    <comment ref="F2" authorId="2" shapeId="0" xr:uid="{C447B083-E268-45FB-AD6B-F4676C41087E}">
      <text>
        <t>[Threaded comment]
Your version of Excel allows you to read this threaded comment; however, any edits to it will get removed if the file is opened in a newer version of Excel. Learn more: https://go.microsoft.com/fwlink/?linkid=870924
Comment:
    Wanted to use bag-valve mask</t>
      </text>
    </comment>
    <comment ref="B3" authorId="3" shapeId="0" xr:uid="{B43ED86E-777E-49EF-A977-3A111D0C56E9}">
      <text>
        <t>[Threaded comment]
Your version of Excel allows you to read this threaded comment; however, any edits to it will get removed if the file is opened in a newer version of Excel. Learn more: https://go.microsoft.com/fwlink/?linkid=870924
Comment:
    Accidentally pressed back</t>
      </text>
    </comment>
    <comment ref="B4" authorId="4" shapeId="0" xr:uid="{9C6D4496-E9A2-4207-83CA-2705B808577E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Difficulty navigating</t>
      </text>
    </comment>
    <comment ref="F4" authorId="5" shapeId="0" xr:uid="{CA090CB5-DF3D-4C45-B02E-5813319A4ABB}">
      <text>
        <t>[Threaded comment]
Your version of Excel allows you to read this threaded comment; however, any edits to it will get removed if the file is opened in a newer version of Excel. Learn more: https://go.microsoft.com/fwlink/?linkid=870924
Comment:
    Wanted to use bag-valve</t>
      </text>
    </comment>
    <comment ref="B6" authorId="6" shapeId="0" xr:uid="{DE578A71-DBBB-480A-8D03-F3EBFAB4A101}">
      <text>
        <t>[Threaded comment]
Your version of Excel allows you to read this threaded comment; however, any edits to it will get removed if the file is opened in a newer version of Excel. Learn more: https://go.microsoft.com/fwlink/?linkid=870924
Comment:
    Selected Radin instead of Valium</t>
      </text>
    </comment>
    <comment ref="C6" authorId="7" shapeId="0" xr:uid="{CB11DE58-D7F6-4AE8-8E33-E7A30B544E4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Didn't know if valium was given
Reply:
    Didn't know if fosphenytoin was given</t>
      </text>
    </comment>
    <comment ref="E6" authorId="8" shapeId="0" xr:uid="{6217A721-3CBF-431D-B367-7E4A21666BB2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Valium
Reply:
    Phenobarbital
Reply:
    Keppra</t>
      </text>
    </comment>
    <comment ref="G6" authorId="9" shapeId="0" xr:uid="{8A77FC5F-85B5-4288-BA5D-EDF1964C1D41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 the patient to their side
Reply:
    Patient history</t>
      </text>
    </comment>
    <comment ref="H6" authorId="10" shapeId="0" xr:uid="{C6C03DBC-75C0-4C7B-A6BE-AB20957037F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of IV setup automatically</t>
      </text>
    </comment>
    <comment ref="D7" authorId="11" shapeId="0" xr:uid="{FA8E3529-61C9-410F-A974-CF564122A793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Couldn't find medications</t>
      </text>
    </comment>
    <comment ref="E7" authorId="12" shapeId="0" xr:uid="{268A5EC4-6168-452E-B384-663BBF205653}">
      <text>
        <t>[Threaded comment]
Your version of Excel allows you to read this threaded comment; however, any edits to it will get removed if the file is opened in a newer version of Excel. Learn more: https://go.microsoft.com/fwlink/?linkid=870924
Comment:
    Give fluids
Reply:
    Dexamethasone</t>
      </text>
    </comment>
    <comment ref="G7" authorId="13" shapeId="0" xr:uid="{6BFC6DB7-AA3D-4D2E-B16A-0FAB1C810BF5}">
      <text>
        <t>[Threaded comment]
Your version of Excel allows you to read this threaded comment; however, any edits to it will get removed if the file is opened in a newer version of Excel. Learn more: https://go.microsoft.com/fwlink/?linkid=870924
Comment:
    Blood gas
Reply:
    Airway intact?
Reply:
    Assess abdomen</t>
      </text>
    </comment>
    <comment ref="B8" authorId="14" shapeId="0" xr:uid="{BD540D63-C38E-4EFC-AA1E-104D4E658DFC}">
      <text>
        <t>[Threaded comment]
Your version of Excel allows you to read this threaded comment; however, any edits to it will get removed if the file is opened in a newer version of Excel. Learn more: https://go.microsoft.com/fwlink/?linkid=870924
Comment:
    Spoke to pharmacist instead of selecting</t>
      </text>
    </comment>
    <comment ref="F8" authorId="15" shapeId="0" xr:uid="{716A21CC-8E05-432E-89D6-6B3107C52697}">
      <text>
        <t>[Threaded comment]
Your version of Excel allows you to read this threaded comment; however, any edits to it will get removed if the file is opened in a newer version of Excel. Learn more: https://go.microsoft.com/fwlink/?linkid=870924
Comment:
    Bag valve</t>
      </text>
    </comment>
    <comment ref="H8" authorId="16" shapeId="0" xr:uid="{AF6EC709-98A8-4875-910D-6E08D5341DC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NRB before suction</t>
      </text>
    </comment>
    <comment ref="B10" authorId="17" shapeId="0" xr:uid="{3B1F4275-F533-4F87-8D23-C3DB4651DE8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Didn't know how to return
Reply:
    Accidentally cancelled instead of selected</t>
      </text>
    </comment>
    <comment ref="F10" authorId="18" shapeId="0" xr:uid="{4D1224C6-2C04-4590-B6EA-FC2581D8E453}">
      <text>
        <t>[Threaded comment]
Your version of Excel allows you to read this threaded comment; however, any edits to it will get removed if the file is opened in a newer version of Excel. Learn more: https://go.microsoft.com/fwlink/?linkid=870924
Comment:
    Nasal cannula</t>
      </text>
    </comment>
    <comment ref="B11" authorId="19" shapeId="0" xr:uid="{EFE229B2-9B67-4D47-91C2-D5CCBB5ED368}">
      <text>
        <t>[Threaded comment]
Your version of Excel allows you to read this threaded comment; however, any edits to it will get removed if the file is opened in a newer version of Excel. Learn more: https://go.microsoft.com/fwlink/?linkid=870924
Comment:
    Selected wrong medication</t>
      </text>
    </comment>
    <comment ref="D11" authorId="20" shapeId="0" xr:uid="{5FACBAA7-3CE4-44A4-A8C3-18941030C8C9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Couldn't find albuterol</t>
      </text>
    </comment>
    <comment ref="E11" authorId="21" shapeId="0" xr:uid="{028DB698-0D90-4678-A4D5-D955CBA8AED0}">
      <text>
        <t>[Threaded comment]
Your version of Excel allows you to read this threaded comment; however, any edits to it will get removed if the file is opened in a newer version of Excel. Learn more: https://go.microsoft.com/fwlink/?linkid=870924
Comment:
    Bolus</t>
      </text>
    </comment>
    <comment ref="C12" authorId="22" shapeId="0" xr:uid="{E940808D-F0D7-4A5D-999B-F17AAB4DC4FD}">
      <text>
        <t>[Threaded comment]
Your version of Excel allows you to read this threaded comment; however, any edits to it will get removed if the file is opened in a newer version of Excel. Learn more: https://go.microsoft.com/fwlink/?linkid=870924
Comment:
    Thought medication had been given when it hadn't</t>
      </text>
    </comment>
    <comment ref="D12" authorId="23" shapeId="0" xr:uid="{282A35E1-F834-436B-AD40-4E9D6430B54B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Couldn't find medications</t>
      </text>
    </comment>
    <comment ref="B13" authorId="24" shapeId="0" xr:uid="{B38C7EFB-DE0E-47B8-910D-B7422D037584}">
      <text>
        <t>[Threaded comment]
Your version of Excel allows you to read this threaded comment; however, any edits to it will get removed if the file is opened in a newer version of Excel. Learn more: https://go.microsoft.com/fwlink/?linkid=870924
Comment:
    Selected wrong medication</t>
      </text>
    </comment>
    <comment ref="E13" authorId="25" shapeId="0" xr:uid="{4AA08E60-DE92-4A6D-9813-166CF8465FF0}">
      <text>
        <t>[Threaded comment]
Your version of Excel allows you to read this threaded comment; however, any edits to it will get removed if the file is opened in a newer version of Excel. Learn more: https://go.microsoft.com/fwlink/?linkid=870924
Comment:
    Bolus
Reply:
    Fluids</t>
      </text>
    </comment>
    <comment ref="F13" authorId="26" shapeId="0" xr:uid="{C16D2154-54E9-4FDC-B68B-1EE5A7FFF7DB}">
      <text>
        <t>[Threaded comment]
Your version of Excel allows you to read this threaded comment; however, any edits to it will get removed if the file is opened in a newer version of Excel. Learn more: https://go.microsoft.com/fwlink/?linkid=870924
Comment:
    Unnecessary NRB</t>
      </text>
    </comment>
    <comment ref="B14" authorId="27" shapeId="0" xr:uid="{27062663-3D24-42E7-B351-20DD8A84F04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Didn't know how to select</t>
      </text>
    </comment>
    <comment ref="B15" authorId="28" shapeId="0" xr:uid="{B966E387-2D60-4C75-A664-B7EF9116420B}">
      <text>
        <t>[Threaded comment]
Your version of Excel allows you to read this threaded comment; however, any edits to it will get removed if the file is opened in a newer version of Excel. Learn more: https://go.microsoft.com/fwlink/?linkid=870924
Comment:
    Got stuck, didn't know how to go back</t>
      </text>
    </comment>
    <comment ref="E15" authorId="29" shapeId="0" xr:uid="{1BCE9C1A-4D49-406A-BD93-358EE97B7579}">
      <text>
        <t>[Threaded comment]
Your version of Excel allows you to read this threaded comment; however, any edits to it will get removed if the file is opened in a newer version of Excel. Learn more: https://go.microsoft.com/fwlink/?linkid=870924
Comment:
    Fluids</t>
      </text>
    </comment>
    <comment ref="F15" authorId="30" shapeId="0" xr:uid="{39716611-9F8D-4FE6-8B50-F3B0BCB0AF90}">
      <text>
        <t>[Threaded comment]
Your version of Excel allows you to read this threaded comment; however, any edits to it will get removed if the file is opened in a newer version of Excel. Learn more: https://go.microsoft.com/fwlink/?linkid=870924
Comment:
    Nasal cannula</t>
      </text>
    </comment>
    <comment ref="H15" authorId="31" shapeId="0" xr:uid="{B16AD42C-7638-4EAC-8E1B-76189D811331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Expected automatic IV</t>
      </text>
    </comment>
    <comment ref="C16" authorId="32" shapeId="0" xr:uid="{A48AF0F1-FBD6-4ABB-94E2-83BFDA615D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Didn't know state of airway tools
Reply:
    Didn't know meds hadn't been given</t>
      </text>
    </comment>
    <comment ref="B17" authorId="33" shapeId="0" xr:uid="{39A228AA-CEA6-45FB-8C99-2C41E97922F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Didn't know how to select patient</t>
      </text>
    </comment>
    <comment ref="C17" authorId="34" shapeId="0" xr:uid="{8124588B-FBAD-439E-9183-D5CEA18F9AF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Didn't know meds given
Reply:
    Didn't know airway used</t>
      </text>
    </comment>
    <comment ref="E17" authorId="35" shapeId="0" xr:uid="{A9D5123A-696E-4E31-BCA5-A7A1F3632827}">
      <text>
        <t>[Threaded comment]
Your version of Excel allows you to read this threaded comment; however, any edits to it will get removed if the file is opened in a newer version of Excel. Learn more: https://go.microsoft.com/fwlink/?linkid=870924
Comment:
    Fluids</t>
      </text>
    </comment>
    <comment ref="D18" authorId="36" shapeId="0" xr:uid="{A3ED5964-0D79-477A-B91A-CCF5028AF790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Couldn't find albuterol</t>
      </text>
    </comment>
    <comment ref="H18" authorId="37" shapeId="0" xr:uid="{7819E943-E71F-4B6B-A637-884FAA02298F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Expected automatic IV</t>
      </text>
    </comment>
    <comment ref="F19" authorId="38" shapeId="0" xr:uid="{66AACD2E-2E05-4E2F-A843-A44708E2D37C}">
      <text>
        <t>[Threaded comment]
Your version of Excel allows you to read this threaded comment; however, any edits to it will get removed if the file is opened in a newer version of Excel. Learn more: https://go.microsoft.com/fwlink/?linkid=870924
Comment:
    Nasal cannula</t>
      </text>
    </comment>
    <comment ref="B21" authorId="0" shapeId="0" xr:uid="{F8E2A35E-7F05-4893-BBC7-D6E47EFB7E27}">
      <text>
        <r>
          <rPr>
            <sz val="9"/>
            <color indexed="81"/>
            <rFont val="Tahoma"/>
            <family val="2"/>
          </rPr>
          <t>Interaction Errors</t>
        </r>
      </text>
    </comment>
    <comment ref="C21" authorId="0" shapeId="0" xr:uid="{A87591A1-F81A-4479-89CA-55D4034ED49C}">
      <text>
        <r>
          <rPr>
            <sz val="9"/>
            <color indexed="81"/>
            <rFont val="Tahoma"/>
            <family val="2"/>
          </rPr>
          <t>State Misinformation</t>
        </r>
      </text>
    </comment>
    <comment ref="D21" authorId="0" shapeId="0" xr:uid="{19DEE99A-69FF-4B6D-9CF6-87D39022C5E6}">
      <text>
        <r>
          <rPr>
            <sz val="9"/>
            <color indexed="81"/>
            <rFont val="Tahoma"/>
            <family val="2"/>
          </rPr>
          <t>Environment Awareness</t>
        </r>
      </text>
    </comment>
    <comment ref="E21" authorId="0" shapeId="0" xr:uid="{9E7FDC71-5E84-4D8B-9B33-5CC369FCDBB5}">
      <text>
        <r>
          <rPr>
            <sz val="9"/>
            <color indexed="81"/>
            <rFont val="Tahoma"/>
            <family val="2"/>
          </rPr>
          <t>Uncoded Medication Requests</t>
        </r>
      </text>
    </comment>
    <comment ref="F21" authorId="0" shapeId="0" xr:uid="{882EABC9-7E9C-4AEB-9EA3-A9614894D4CA}">
      <text>
        <r>
          <rPr>
            <sz val="9"/>
            <color indexed="81"/>
            <rFont val="Tahoma"/>
            <family val="2"/>
          </rPr>
          <t>Uncoded Airway Request</t>
        </r>
      </text>
    </comment>
    <comment ref="G21" authorId="0" shapeId="0" xr:uid="{D9E3A946-48A1-47C6-994C-629E41B6CA54}">
      <text>
        <r>
          <rPr>
            <sz val="9"/>
            <color indexed="81"/>
            <rFont val="Tahoma"/>
            <family val="2"/>
          </rPr>
          <t>Uncoded Procedure Request</t>
        </r>
      </text>
    </comment>
    <comment ref="H21" authorId="0" shapeId="0" xr:uid="{DB08F492-2411-464A-8282-8812BF0D0352}">
      <text>
        <r>
          <rPr>
            <sz val="9"/>
            <color indexed="81"/>
            <rFont val="Tahoma"/>
            <family val="2"/>
          </rPr>
          <t>Action Order</t>
        </r>
      </text>
    </comment>
  </commentList>
</comments>
</file>

<file path=xl/sharedStrings.xml><?xml version="1.0" encoding="utf-8"?>
<sst xmlns="http://schemas.openxmlformats.org/spreadsheetml/2006/main" count="265" uniqueCount="205">
  <si>
    <t>Bangor_rating</t>
  </si>
  <si>
    <t>SUS_learnbefore</t>
  </si>
  <si>
    <t>SUS_confident</t>
  </si>
  <si>
    <t>SUS_awkward</t>
  </si>
  <si>
    <t>SUS_learnquickly</t>
  </si>
  <si>
    <t>SUS_inconsistency</t>
  </si>
  <si>
    <t>SUS_integrated</t>
  </si>
  <si>
    <t>SUS_support</t>
  </si>
  <si>
    <t>SUS_easy</t>
  </si>
  <si>
    <t>SUS_complex</t>
  </si>
  <si>
    <t>SUS_freq</t>
  </si>
  <si>
    <t>NASA_TLX_Frustration</t>
  </si>
  <si>
    <t>NASA_TLX_Effort</t>
  </si>
  <si>
    <t>NASA_TLX_Performance</t>
  </si>
  <si>
    <t>NASA_TLX_Temporal</t>
  </si>
  <si>
    <t>NASA_TLX_Physical</t>
  </si>
  <si>
    <t>Scenario</t>
  </si>
  <si>
    <t>ID</t>
  </si>
  <si>
    <t>Study ID</t>
  </si>
  <si>
    <t>1 (Seizure) or 2 (Anaphylaxis)</t>
  </si>
  <si>
    <t>NASA_TLX_Mental</t>
  </si>
  <si>
    <t>How mentally demanding was the task?</t>
  </si>
  <si>
    <t>How physically demanding was the task?</t>
  </si>
  <si>
    <t>How hurried or rushed was the pace of the task?</t>
  </si>
  <si>
    <t>How successful were you in accomplishing what you were asked to do?</t>
  </si>
  <si>
    <t>How hard did you have to work to accomplish your level of performance?</t>
  </si>
  <si>
    <t>How insecure, discouraged, irritated, stressed, and annoyed were you?</t>
  </si>
  <si>
    <t xml:space="preserve">I think that I would like to use this VR simulation </t>
  </si>
  <si>
    <t>I found the VR simulation unnecessarily complex</t>
  </si>
  <si>
    <t>I thought the VR simulation was easy to use</t>
  </si>
  <si>
    <t>I think that I would need the support of a technical person to be able to use this product</t>
  </si>
  <si>
    <t>I found the various functions in the VR were well integrated</t>
  </si>
  <si>
    <t>I thought there was too much inconsistency in the VR simulation</t>
  </si>
  <si>
    <t>I imagine that most people would learn to use this VR simulation very quickly</t>
  </si>
  <si>
    <t>I found the VR very awkward to use</t>
  </si>
  <si>
    <t>I felt very confident using the VR</t>
  </si>
  <si>
    <t>I needed to learn a lot of things before I could get going with the VR</t>
  </si>
  <si>
    <t>Overall, I would rate the user-friendliness of this product as:</t>
  </si>
  <si>
    <t>Strongly Disagree</t>
  </si>
  <si>
    <t xml:space="preserve">to </t>
  </si>
  <si>
    <t>Strongly Agree</t>
  </si>
  <si>
    <t>1 Worst Imaginable</t>
  </si>
  <si>
    <t>7 Best Imaginable</t>
  </si>
  <si>
    <t>7e6e8866d8a867a7e39a</t>
  </si>
  <si>
    <t>Q1</t>
  </si>
  <si>
    <t>Q3</t>
  </si>
  <si>
    <t>IQR</t>
  </si>
  <si>
    <t>L Bound</t>
  </si>
  <si>
    <t>U Bound</t>
  </si>
  <si>
    <t>Min</t>
  </si>
  <si>
    <t>Max</t>
  </si>
  <si>
    <t>I think that I would like to use this product frequently</t>
  </si>
  <si>
    <t>I thought the product was easy to use</t>
  </si>
  <si>
    <t>I think that would need the support of a technical person to be able to use this product</t>
  </si>
  <si>
    <t>I found the various functions in the product were well integrated</t>
  </si>
  <si>
    <t>I thought there was too much inconsistency in this product</t>
  </si>
  <si>
    <t>I imagine that most people would learn to use this product quickly</t>
  </si>
  <si>
    <t>I found the product very awkward to use</t>
  </si>
  <si>
    <t>I felt very confident using the product</t>
  </si>
  <si>
    <t>I needed to learn a lot of things before I could get going with this product</t>
  </si>
  <si>
    <t>I found the product unnecessarily complex</t>
  </si>
  <si>
    <t>Disagree</t>
  </si>
  <si>
    <t>Agree</t>
  </si>
  <si>
    <t>Mental</t>
  </si>
  <si>
    <t>Physical</t>
  </si>
  <si>
    <t>Temporal</t>
  </si>
  <si>
    <t>Performance</t>
  </si>
  <si>
    <t>Effort</t>
  </si>
  <si>
    <t>Frustration</t>
  </si>
  <si>
    <t>STD1</t>
  </si>
  <si>
    <t>STD2</t>
  </si>
  <si>
    <t>Frequency</t>
  </si>
  <si>
    <t>Complex</t>
  </si>
  <si>
    <t>Easy</t>
  </si>
  <si>
    <t>Support</t>
  </si>
  <si>
    <t>Integrated</t>
  </si>
  <si>
    <t>Inconsistency</t>
  </si>
  <si>
    <t>Awkward</t>
  </si>
  <si>
    <t>Confident</t>
  </si>
  <si>
    <t>#</t>
  </si>
  <si>
    <t>27-1</t>
  </si>
  <si>
    <t>SM</t>
  </si>
  <si>
    <t>UMR</t>
  </si>
  <si>
    <t>UPR</t>
  </si>
  <si>
    <t>EA</t>
  </si>
  <si>
    <t>27-2</t>
  </si>
  <si>
    <t>IE</t>
  </si>
  <si>
    <t>28-1</t>
  </si>
  <si>
    <t>29-1</t>
  </si>
  <si>
    <t>UAR</t>
  </si>
  <si>
    <t>29-2</t>
  </si>
  <si>
    <t>30-1</t>
  </si>
  <si>
    <t>30-2</t>
  </si>
  <si>
    <t>31-1</t>
  </si>
  <si>
    <t>31-2</t>
  </si>
  <si>
    <t>32-1</t>
  </si>
  <si>
    <t>32-2</t>
  </si>
  <si>
    <t>33-1</t>
  </si>
  <si>
    <t>33-2</t>
  </si>
  <si>
    <t>Sum</t>
  </si>
  <si>
    <t>Round</t>
  </si>
  <si>
    <t/>
  </si>
  <si>
    <t>Correlations</t>
  </si>
  <si>
    <t>Pearson Correlation</t>
  </si>
  <si>
    <t>Sig. (2-tailed)</t>
  </si>
  <si>
    <t>*. Correlation is significant at the 0.05 level (2-tailed).</t>
  </si>
  <si>
    <t>**. Correlation is significant at the 0.01 level (2-tailed).</t>
  </si>
  <si>
    <r>
      <t>.702</t>
    </r>
    <r>
      <rPr>
        <vertAlign val="superscript"/>
        <sz val="9"/>
        <color indexed="60"/>
        <rFont val="Arial"/>
        <family val="2"/>
      </rPr>
      <t>**</t>
    </r>
  </si>
  <si>
    <r>
      <t>-.629</t>
    </r>
    <r>
      <rPr>
        <vertAlign val="superscript"/>
        <sz val="9"/>
        <color indexed="60"/>
        <rFont val="Arial"/>
        <family val="2"/>
      </rPr>
      <t>*</t>
    </r>
  </si>
  <si>
    <r>
      <t>.700</t>
    </r>
    <r>
      <rPr>
        <vertAlign val="superscript"/>
        <sz val="9"/>
        <color indexed="60"/>
        <rFont val="Arial"/>
        <family val="2"/>
      </rPr>
      <t>**</t>
    </r>
  </si>
  <si>
    <t>TLX Mental</t>
  </si>
  <si>
    <t>TLX Physical</t>
  </si>
  <si>
    <t>TLX Temporal</t>
  </si>
  <si>
    <t>TLX Performance</t>
  </si>
  <si>
    <t>TLX Effort</t>
  </si>
  <si>
    <t>TLX Frustration</t>
  </si>
  <si>
    <t>SUS Frequency</t>
  </si>
  <si>
    <t>SUS Complex</t>
  </si>
  <si>
    <t>SUS Easy</t>
  </si>
  <si>
    <t>SUS Support</t>
  </si>
  <si>
    <t>SUS Integrated</t>
  </si>
  <si>
    <t>SUS Inconsistency</t>
  </si>
  <si>
    <t>SUS Learn Quickly</t>
  </si>
  <si>
    <t>SUS Awkward</t>
  </si>
  <si>
    <t>SUS Confident</t>
  </si>
  <si>
    <t>SUS Learn Before</t>
  </si>
  <si>
    <t>Bangor Rating</t>
  </si>
  <si>
    <t>Uncoded Medication Requests</t>
  </si>
  <si>
    <t>Uncoded Airway Requests</t>
  </si>
  <si>
    <t>Uncoded Procedure Requests</t>
  </si>
  <si>
    <t>State Misunderating</t>
  </si>
  <si>
    <t>Interaction Error</t>
  </si>
  <si>
    <t>Environment Awareness</t>
  </si>
  <si>
    <t>Assumed Functionality</t>
  </si>
  <si>
    <r>
      <t>.736</t>
    </r>
    <r>
      <rPr>
        <vertAlign val="superscript"/>
        <sz val="9"/>
        <color indexed="60"/>
        <rFont val="Arial"/>
        <family val="2"/>
      </rPr>
      <t>**</t>
    </r>
  </si>
  <si>
    <r>
      <t>.564</t>
    </r>
    <r>
      <rPr>
        <vertAlign val="superscript"/>
        <sz val="9"/>
        <color indexed="60"/>
        <rFont val="Arial"/>
        <family val="2"/>
      </rPr>
      <t>*</t>
    </r>
  </si>
  <si>
    <r>
      <t>-.613</t>
    </r>
    <r>
      <rPr>
        <vertAlign val="superscript"/>
        <sz val="9"/>
        <color indexed="60"/>
        <rFont val="Arial"/>
        <family val="2"/>
      </rPr>
      <t>*</t>
    </r>
  </si>
  <si>
    <r>
      <t>.594</t>
    </r>
    <r>
      <rPr>
        <vertAlign val="superscript"/>
        <sz val="9"/>
        <color indexed="60"/>
        <rFont val="Arial"/>
        <family val="2"/>
      </rPr>
      <t>*</t>
    </r>
  </si>
  <si>
    <r>
      <t>.641</t>
    </r>
    <r>
      <rPr>
        <vertAlign val="superscript"/>
        <sz val="9"/>
        <color indexed="60"/>
        <rFont val="Arial"/>
        <family val="2"/>
      </rPr>
      <t>*</t>
    </r>
  </si>
  <si>
    <r>
      <t>-.594</t>
    </r>
    <r>
      <rPr>
        <vertAlign val="superscript"/>
        <sz val="9"/>
        <color indexed="60"/>
        <rFont val="Arial"/>
        <family val="2"/>
      </rPr>
      <t>*</t>
    </r>
  </si>
  <si>
    <r>
      <t>.570</t>
    </r>
    <r>
      <rPr>
        <vertAlign val="superscript"/>
        <sz val="9"/>
        <color indexed="60"/>
        <rFont val="Arial"/>
        <family val="2"/>
      </rPr>
      <t>*</t>
    </r>
  </si>
  <si>
    <r>
      <t>-.677</t>
    </r>
    <r>
      <rPr>
        <vertAlign val="superscript"/>
        <sz val="9"/>
        <color indexed="60"/>
        <rFont val="Arial"/>
        <family val="2"/>
      </rPr>
      <t>*</t>
    </r>
  </si>
  <si>
    <r>
      <t>-.860</t>
    </r>
    <r>
      <rPr>
        <vertAlign val="superscript"/>
        <sz val="9"/>
        <color indexed="60"/>
        <rFont val="Arial"/>
        <family val="2"/>
      </rPr>
      <t>**</t>
    </r>
  </si>
  <si>
    <t>TLX Perf</t>
  </si>
  <si>
    <t>TLX Frust</t>
  </si>
  <si>
    <t>SUS Freq</t>
  </si>
  <si>
    <t>SUS Comp</t>
  </si>
  <si>
    <t>SUS Learn</t>
  </si>
  <si>
    <t>Bangor</t>
  </si>
  <si>
    <t>SUS Integr</t>
  </si>
  <si>
    <t>Learn Before</t>
  </si>
  <si>
    <t>Learn Quickly</t>
  </si>
  <si>
    <t>AO</t>
  </si>
  <si>
    <t>UAO</t>
  </si>
  <si>
    <t>EAE</t>
  </si>
  <si>
    <t>26-1</t>
  </si>
  <si>
    <t>26-2</t>
  </si>
  <si>
    <t>28-2</t>
  </si>
  <si>
    <t>25-1</t>
  </si>
  <si>
    <t>25-2</t>
  </si>
  <si>
    <t>Per Scenario</t>
  </si>
  <si>
    <t>Scenario #1</t>
  </si>
  <si>
    <t>Scenario #2</t>
  </si>
  <si>
    <t>Count</t>
  </si>
  <si>
    <t>Diff Sum</t>
  </si>
  <si>
    <t>Diff Count</t>
  </si>
  <si>
    <t>Percent</t>
  </si>
  <si>
    <t>Diff Percent</t>
  </si>
  <si>
    <t>Count S1</t>
  </si>
  <si>
    <t>Count S2</t>
  </si>
  <si>
    <t>Sum S1</t>
  </si>
  <si>
    <t>Sum S2</t>
  </si>
  <si>
    <t>Selection</t>
  </si>
  <si>
    <t>Accidental Press</t>
  </si>
  <si>
    <t>Confused</t>
  </si>
  <si>
    <t>#1</t>
  </si>
  <si>
    <t>#2</t>
  </si>
  <si>
    <t>Total</t>
  </si>
  <si>
    <t>S1</t>
  </si>
  <si>
    <t>S2</t>
  </si>
  <si>
    <t>Tot</t>
  </si>
  <si>
    <t>SUS</t>
  </si>
  <si>
    <t>Workload</t>
  </si>
  <si>
    <r>
      <t>.580</t>
    </r>
    <r>
      <rPr>
        <vertAlign val="superscript"/>
        <sz val="9"/>
        <color indexed="60"/>
        <rFont val="Arial"/>
      </rPr>
      <t>*</t>
    </r>
  </si>
  <si>
    <r>
      <t>.493</t>
    </r>
    <r>
      <rPr>
        <vertAlign val="superscript"/>
        <sz val="9"/>
        <color indexed="60"/>
        <rFont val="Arial"/>
      </rPr>
      <t>*</t>
    </r>
  </si>
  <si>
    <r>
      <t>.568</t>
    </r>
    <r>
      <rPr>
        <vertAlign val="superscript"/>
        <sz val="9"/>
        <color indexed="60"/>
        <rFont val="Arial"/>
      </rPr>
      <t>*</t>
    </r>
  </si>
  <si>
    <r>
      <t>.533</t>
    </r>
    <r>
      <rPr>
        <vertAlign val="superscript"/>
        <sz val="9"/>
        <color indexed="60"/>
        <rFont val="Arial"/>
      </rPr>
      <t>*</t>
    </r>
  </si>
  <si>
    <r>
      <t>.636</t>
    </r>
    <r>
      <rPr>
        <vertAlign val="superscript"/>
        <sz val="9"/>
        <color indexed="60"/>
        <rFont val="Arial"/>
      </rPr>
      <t>*</t>
    </r>
  </si>
  <si>
    <r>
      <t>-.533</t>
    </r>
    <r>
      <rPr>
        <vertAlign val="superscript"/>
        <sz val="9"/>
        <color indexed="60"/>
        <rFont val="Arial"/>
      </rPr>
      <t>*</t>
    </r>
  </si>
  <si>
    <r>
      <t>-.549</t>
    </r>
    <r>
      <rPr>
        <vertAlign val="superscript"/>
        <sz val="9"/>
        <color indexed="60"/>
        <rFont val="Arial"/>
      </rPr>
      <t>*</t>
    </r>
  </si>
  <si>
    <r>
      <t>.514</t>
    </r>
    <r>
      <rPr>
        <vertAlign val="superscript"/>
        <sz val="9"/>
        <color indexed="60"/>
        <rFont val="Arial"/>
      </rPr>
      <t>*</t>
    </r>
  </si>
  <si>
    <r>
      <t>.515</t>
    </r>
    <r>
      <rPr>
        <vertAlign val="superscript"/>
        <sz val="9"/>
        <color indexed="60"/>
        <rFont val="Arial"/>
      </rPr>
      <t>*</t>
    </r>
  </si>
  <si>
    <r>
      <t>-.592</t>
    </r>
    <r>
      <rPr>
        <vertAlign val="superscript"/>
        <sz val="9"/>
        <color indexed="60"/>
        <rFont val="Arial"/>
      </rPr>
      <t>*</t>
    </r>
  </si>
  <si>
    <r>
      <t>-.518</t>
    </r>
    <r>
      <rPr>
        <vertAlign val="superscript"/>
        <sz val="9"/>
        <color indexed="60"/>
        <rFont val="Arial"/>
      </rPr>
      <t>*</t>
    </r>
  </si>
  <si>
    <r>
      <t>.698</t>
    </r>
    <r>
      <rPr>
        <vertAlign val="superscript"/>
        <sz val="9"/>
        <color indexed="60"/>
        <rFont val="Arial"/>
      </rPr>
      <t>**</t>
    </r>
  </si>
  <si>
    <r>
      <t>-.542</t>
    </r>
    <r>
      <rPr>
        <vertAlign val="superscript"/>
        <sz val="9"/>
        <color indexed="60"/>
        <rFont val="Arial"/>
      </rPr>
      <t>*</t>
    </r>
  </si>
  <si>
    <r>
      <t>-.541</t>
    </r>
    <r>
      <rPr>
        <vertAlign val="superscript"/>
        <sz val="9"/>
        <color indexed="60"/>
        <rFont val="Arial"/>
      </rPr>
      <t>*</t>
    </r>
  </si>
  <si>
    <r>
      <t>.555</t>
    </r>
    <r>
      <rPr>
        <vertAlign val="superscript"/>
        <sz val="9"/>
        <color indexed="60"/>
        <rFont val="Arial"/>
      </rPr>
      <t>*</t>
    </r>
  </si>
  <si>
    <r>
      <t>.524</t>
    </r>
    <r>
      <rPr>
        <vertAlign val="superscript"/>
        <sz val="9"/>
        <color indexed="60"/>
        <rFont val="Arial"/>
      </rPr>
      <t>*</t>
    </r>
  </si>
  <si>
    <r>
      <t>.660</t>
    </r>
    <r>
      <rPr>
        <vertAlign val="superscript"/>
        <sz val="9"/>
        <color indexed="60"/>
        <rFont val="Arial"/>
      </rPr>
      <t>**</t>
    </r>
  </si>
  <si>
    <r>
      <t>-.605</t>
    </r>
    <r>
      <rPr>
        <vertAlign val="superscript"/>
        <sz val="9"/>
        <color indexed="60"/>
        <rFont val="Arial"/>
      </rPr>
      <t>*</t>
    </r>
  </si>
  <si>
    <r>
      <t>-.695</t>
    </r>
    <r>
      <rPr>
        <vertAlign val="superscript"/>
        <sz val="9"/>
        <color indexed="60"/>
        <rFont val="Arial"/>
      </rPr>
      <t>**</t>
    </r>
  </si>
  <si>
    <r>
      <t>-.862</t>
    </r>
    <r>
      <rPr>
        <vertAlign val="superscript"/>
        <sz val="9"/>
        <color indexed="60"/>
        <rFont val="Arial"/>
      </rPr>
      <t>**</t>
    </r>
  </si>
  <si>
    <r>
      <t>-.577</t>
    </r>
    <r>
      <rPr>
        <vertAlign val="superscript"/>
        <sz val="9"/>
        <color indexed="60"/>
        <rFont val="Arial"/>
      </rPr>
      <t>*</t>
    </r>
  </si>
  <si>
    <r>
      <t>-.676</t>
    </r>
    <r>
      <rPr>
        <vertAlign val="superscript"/>
        <sz val="9"/>
        <color indexed="60"/>
        <rFont val="Arial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</si>
</sst>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.000"/>
    <numFmt numFmtId="166" formatCode="0.0%"/>
  </numFmts>
  <fonts count="21" x14ac:knownFonts="1"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9C570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vertAlign val="superscript"/>
      <sz val="9"/>
      <color indexed="60"/>
      <name val="Arial"/>
      <family val="2"/>
    </font>
    <font>
      <sz val="10"/>
      <name val="Arial"/>
      <family val="2"/>
    </font>
    <font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0" tint="-0.14999847407452621"/>
      <name val="Century Gothic"/>
      <family val="2"/>
    </font>
    <font>
      <sz val="9"/>
      <color indexed="81"/>
      <name val="Tahoma"/>
      <charset val="1"/>
    </font>
    <font>
      <sz val="10"/>
      <name val="Arial"/>
    </font>
    <font>
      <sz val="9"/>
      <color indexed="62"/>
      <name val="Arial"/>
    </font>
    <font>
      <sz val="9"/>
      <color indexed="60"/>
      <name val="Arial"/>
    </font>
    <font>
      <vertAlign val="superscript"/>
      <sz val="9"/>
      <color indexed="6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7" fillId="0" borderId="0"/>
  </cellStyleXfs>
  <cellXfs count="60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6" fillId="0" borderId="0" xfId="1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9" fontId="6" fillId="0" borderId="0" xfId="2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12" fillId="0" borderId="0" xfId="3"/>
    <xf numFmtId="0" fontId="9" fillId="0" borderId="2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0" fontId="9" fillId="3" borderId="4" xfId="3" applyFont="1" applyFill="1" applyBorder="1" applyAlignment="1">
      <alignment horizontal="left" vertical="top" wrapText="1"/>
    </xf>
    <xf numFmtId="165" fontId="10" fillId="0" borderId="6" xfId="3" applyNumberFormat="1" applyFont="1" applyBorder="1" applyAlignment="1">
      <alignment horizontal="right" vertical="top"/>
    </xf>
    <xf numFmtId="165" fontId="10" fillId="0" borderId="5" xfId="3" applyNumberFormat="1" applyFont="1" applyBorder="1" applyAlignment="1">
      <alignment horizontal="right" vertical="top"/>
    </xf>
    <xf numFmtId="0" fontId="10" fillId="0" borderId="6" xfId="3" applyFont="1" applyBorder="1" applyAlignment="1">
      <alignment horizontal="right" vertical="top"/>
    </xf>
    <xf numFmtId="165" fontId="13" fillId="0" borderId="5" xfId="3" applyNumberFormat="1" applyFont="1" applyBorder="1" applyAlignment="1">
      <alignment horizontal="right" vertical="top"/>
    </xf>
    <xf numFmtId="165" fontId="13" fillId="0" borderId="6" xfId="3" applyNumberFormat="1" applyFont="1" applyBorder="1" applyAlignment="1">
      <alignment horizontal="right" vertical="top"/>
    </xf>
    <xf numFmtId="0" fontId="13" fillId="3" borderId="4" xfId="3" applyFont="1" applyFill="1" applyBorder="1" applyAlignment="1">
      <alignment horizontal="left" vertical="top" wrapText="1"/>
    </xf>
    <xf numFmtId="0" fontId="14" fillId="0" borderId="0" xfId="3" applyFont="1"/>
    <xf numFmtId="0" fontId="15" fillId="0" borderId="0" xfId="0" applyFont="1"/>
    <xf numFmtId="0" fontId="9" fillId="3" borderId="7" xfId="3" applyFont="1" applyFill="1" applyBorder="1" applyAlignment="1">
      <alignment horizontal="left" vertical="top" wrapText="1"/>
    </xf>
    <xf numFmtId="0" fontId="9" fillId="0" borderId="1" xfId="3" applyFont="1" applyBorder="1" applyAlignment="1">
      <alignment horizontal="left" wrapText="1"/>
    </xf>
    <xf numFmtId="9" fontId="0" fillId="0" borderId="0" xfId="2" applyFont="1" applyAlignment="1">
      <alignment horizontal="center"/>
    </xf>
    <xf numFmtId="9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9" fillId="3" borderId="7" xfId="3" applyFont="1" applyFill="1" applyBorder="1" applyAlignment="1">
      <alignment horizontal="left" vertical="top" wrapText="1"/>
    </xf>
    <xf numFmtId="0" fontId="9" fillId="3" borderId="4" xfId="3" applyFont="1" applyFill="1" applyBorder="1" applyAlignment="1">
      <alignment horizontal="left" vertical="top" wrapText="1"/>
    </xf>
    <xf numFmtId="0" fontId="8" fillId="0" borderId="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wrapText="1"/>
    </xf>
    <xf numFmtId="0" fontId="10" fillId="0" borderId="0" xfId="3" applyFont="1" applyBorder="1" applyAlignment="1">
      <alignment horizontal="left" vertical="top" wrapText="1"/>
    </xf>
    <xf numFmtId="9" fontId="0" fillId="0" borderId="0" xfId="2" applyFont="1"/>
    <xf numFmtId="166" fontId="0" fillId="0" borderId="0" xfId="0" applyNumberFormat="1"/>
    <xf numFmtId="9" fontId="0" fillId="0" borderId="0" xfId="2" applyNumberFormat="1" applyFont="1"/>
    <xf numFmtId="2" fontId="6" fillId="0" borderId="0" xfId="0" applyNumberFormat="1" applyFont="1" applyFill="1"/>
    <xf numFmtId="1" fontId="6" fillId="0" borderId="0" xfId="0" applyNumberFormat="1" applyFont="1" applyFill="1"/>
    <xf numFmtId="10" fontId="6" fillId="0" borderId="0" xfId="0" applyNumberFormat="1" applyFont="1" applyFill="1"/>
    <xf numFmtId="166" fontId="6" fillId="0" borderId="0" xfId="2" applyNumberFormat="1" applyFont="1" applyFill="1" applyAlignment="1">
      <alignment horizontal="center"/>
    </xf>
    <xf numFmtId="0" fontId="17" fillId="0" borderId="0" xfId="4"/>
    <xf numFmtId="0" fontId="18" fillId="0" borderId="1" xfId="4" applyFont="1" applyBorder="1" applyAlignment="1">
      <alignment horizontal="left" wrapText="1"/>
    </xf>
    <xf numFmtId="0" fontId="18" fillId="0" borderId="3" xfId="4" applyFont="1" applyBorder="1" applyAlignment="1">
      <alignment horizontal="center" wrapText="1"/>
    </xf>
    <xf numFmtId="165" fontId="19" fillId="0" borderId="6" xfId="4" applyNumberFormat="1" applyFont="1" applyBorder="1" applyAlignment="1">
      <alignment horizontal="right" vertical="top"/>
    </xf>
    <xf numFmtId="0" fontId="19" fillId="0" borderId="6" xfId="4" applyFont="1" applyBorder="1" applyAlignment="1">
      <alignment horizontal="right" vertical="top"/>
    </xf>
    <xf numFmtId="0" fontId="18" fillId="3" borderId="7" xfId="4" applyFont="1" applyFill="1" applyBorder="1" applyAlignment="1">
      <alignment horizontal="left" vertical="top" wrapText="1"/>
    </xf>
    <xf numFmtId="0" fontId="19" fillId="0" borderId="0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center" vertical="center" wrapText="1"/>
    </xf>
  </cellXfs>
  <cellStyles count="5">
    <cellStyle name="Neutral" xfId="1" builtinId="28"/>
    <cellStyle name="Normal" xfId="0" builtinId="0"/>
    <cellStyle name="Normal_Correlations" xfId="3" xr:uid="{F503519B-6FBF-4979-8CCA-58B812D7752C}"/>
    <cellStyle name="Normal_Correlations_1" xfId="4" xr:uid="{899B1BF3-0957-4214-A835-FBAAF835E62B}"/>
    <cellStyle name="Percent" xfId="2" builtinId="5"/>
  </cellStyles>
  <dxfs count="4"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NASA-TLX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Session #1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Data!$D$27:$I$27</c:f>
                <c:numCache>
                  <c:formatCode>General</c:formatCode>
                  <c:ptCount val="6"/>
                  <c:pt idx="0">
                    <c:v>22.374478406224743</c:v>
                  </c:pt>
                  <c:pt idx="1">
                    <c:v>6.9832250499869639</c:v>
                  </c:pt>
                  <c:pt idx="2">
                    <c:v>26.885674739028577</c:v>
                  </c:pt>
                  <c:pt idx="3">
                    <c:v>26.034165586355513</c:v>
                  </c:pt>
                  <c:pt idx="4">
                    <c:v>13.286956381223776</c:v>
                  </c:pt>
                  <c:pt idx="5">
                    <c:v>25.288459281646759</c:v>
                  </c:pt>
                </c:numCache>
              </c:numRef>
            </c:plus>
            <c:minus>
              <c:numRef>
                <c:f>Data!$D$27:$I$27</c:f>
                <c:numCache>
                  <c:formatCode>General</c:formatCode>
                  <c:ptCount val="6"/>
                  <c:pt idx="0">
                    <c:v>22.374478406224743</c:v>
                  </c:pt>
                  <c:pt idx="1">
                    <c:v>6.9832250499869639</c:v>
                  </c:pt>
                  <c:pt idx="2">
                    <c:v>26.885674739028577</c:v>
                  </c:pt>
                  <c:pt idx="3">
                    <c:v>26.034165586355513</c:v>
                  </c:pt>
                  <c:pt idx="4">
                    <c:v>13.286956381223776</c:v>
                  </c:pt>
                  <c:pt idx="5">
                    <c:v>25.288459281646759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Data!$D$1:$I$1</c:f>
              <c:strCache>
                <c:ptCount val="6"/>
                <c:pt idx="0">
                  <c:v>Mental</c:v>
                </c:pt>
                <c:pt idx="1">
                  <c:v>Physical</c:v>
                </c:pt>
                <c:pt idx="2">
                  <c:v>Temporal</c:v>
                </c:pt>
                <c:pt idx="3">
                  <c:v>Performance</c:v>
                </c:pt>
                <c:pt idx="4">
                  <c:v>Effort</c:v>
                </c:pt>
                <c:pt idx="5">
                  <c:v>Frustration</c:v>
                </c:pt>
              </c:strCache>
            </c:strRef>
          </c:cat>
          <c:val>
            <c:numRef>
              <c:f>Data!$D$21:$I$21</c:f>
              <c:numCache>
                <c:formatCode>0.00</c:formatCode>
                <c:ptCount val="6"/>
                <c:pt idx="0">
                  <c:v>57.222222222222221</c:v>
                </c:pt>
                <c:pt idx="1">
                  <c:v>13.888888888888889</c:v>
                </c:pt>
                <c:pt idx="2">
                  <c:v>57.222222222222221</c:v>
                </c:pt>
                <c:pt idx="3">
                  <c:v>43.333333333333329</c:v>
                </c:pt>
                <c:pt idx="4">
                  <c:v>63.888888888888893</c:v>
                </c:pt>
                <c:pt idx="5">
                  <c:v>57.777777777777779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9-444E-A830-6A728D64EA06}"/>
            </c:ext>
          </c:extLst>
        </c:ser>
        <c:ser>
          <c:idx val="1"/>
          <c:order val="1"/>
          <c:tx>
            <c:v>Session #2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Data!$D$28:$I$28</c:f>
                <c:numCache>
                  <c:formatCode>General</c:formatCode>
                  <c:ptCount val="6"/>
                  <c:pt idx="0">
                    <c:v>24.992186278915259</c:v>
                  </c:pt>
                  <c:pt idx="1">
                    <c:v>6.49519052838329</c:v>
                  </c:pt>
                  <c:pt idx="2">
                    <c:v>28.277365064659044</c:v>
                  </c:pt>
                  <c:pt idx="3">
                    <c:v>26.331718041176121</c:v>
                  </c:pt>
                  <c:pt idx="4">
                    <c:v>14.238482187368147</c:v>
                  </c:pt>
                  <c:pt idx="5">
                    <c:v>27.922884879610844</c:v>
                  </c:pt>
                </c:numCache>
              </c:numRef>
            </c:plus>
            <c:minus>
              <c:numRef>
                <c:f>Data!$D$28:$I$28</c:f>
                <c:numCache>
                  <c:formatCode>General</c:formatCode>
                  <c:ptCount val="6"/>
                  <c:pt idx="0">
                    <c:v>24.992186278915259</c:v>
                  </c:pt>
                  <c:pt idx="1">
                    <c:v>6.49519052838329</c:v>
                  </c:pt>
                  <c:pt idx="2">
                    <c:v>28.277365064659044</c:v>
                  </c:pt>
                  <c:pt idx="3">
                    <c:v>26.331718041176121</c:v>
                  </c:pt>
                  <c:pt idx="4">
                    <c:v>14.238482187368147</c:v>
                  </c:pt>
                  <c:pt idx="5">
                    <c:v>27.922884879610844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Data!$D$1:$I$1</c:f>
              <c:strCache>
                <c:ptCount val="6"/>
                <c:pt idx="0">
                  <c:v>Mental</c:v>
                </c:pt>
                <c:pt idx="1">
                  <c:v>Physical</c:v>
                </c:pt>
                <c:pt idx="2">
                  <c:v>Temporal</c:v>
                </c:pt>
                <c:pt idx="3">
                  <c:v>Performance</c:v>
                </c:pt>
                <c:pt idx="4">
                  <c:v>Effort</c:v>
                </c:pt>
                <c:pt idx="5">
                  <c:v>Frustration</c:v>
                </c:pt>
              </c:strCache>
            </c:strRef>
          </c:cat>
          <c:val>
            <c:numRef>
              <c:f>Data!$D$22:$I$22</c:f>
              <c:numCache>
                <c:formatCode>0.00</c:formatCode>
                <c:ptCount val="6"/>
                <c:pt idx="0">
                  <c:v>58.125</c:v>
                </c:pt>
                <c:pt idx="1">
                  <c:v>13.75</c:v>
                </c:pt>
                <c:pt idx="2">
                  <c:v>61.875</c:v>
                </c:pt>
                <c:pt idx="3">
                  <c:v>61.875</c:v>
                </c:pt>
                <c:pt idx="4">
                  <c:v>59.375</c:v>
                </c:pt>
                <c:pt idx="5">
                  <c:v>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9-444E-A830-6A728D64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519537384"/>
        <c:axId val="519537712"/>
      </c:barChart>
      <c:catAx>
        <c:axId val="51953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712"/>
        <c:crosses val="autoZero"/>
        <c:auto val="1"/>
        <c:lblAlgn val="ctr"/>
        <c:lblOffset val="100"/>
        <c:noMultiLvlLbl val="0"/>
      </c:catAx>
      <c:valAx>
        <c:axId val="5195377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384"/>
        <c:crosses val="autoZero"/>
        <c:crossBetween val="between"/>
        <c:majorUnit val="2"/>
        <c:min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Session #1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Data!$K$27:$T$27</c:f>
                <c:numCache>
                  <c:formatCode>General</c:formatCode>
                  <c:ptCount val="10"/>
                  <c:pt idx="0">
                    <c:v>0.48412291827592713</c:v>
                  </c:pt>
                  <c:pt idx="1">
                    <c:v>0.96824583655185426</c:v>
                  </c:pt>
                  <c:pt idx="2">
                    <c:v>0.78062474979979979</c:v>
                  </c:pt>
                  <c:pt idx="3">
                    <c:v>0.92702481088695787</c:v>
                  </c:pt>
                  <c:pt idx="4">
                    <c:v>0.33071891388307384</c:v>
                  </c:pt>
                  <c:pt idx="5">
                    <c:v>0.66143782776614768</c:v>
                  </c:pt>
                  <c:pt idx="6">
                    <c:v>0.59947894041408989</c:v>
                  </c:pt>
                  <c:pt idx="7">
                    <c:v>1.0532687216470449</c:v>
                  </c:pt>
                  <c:pt idx="8">
                    <c:v>1.1180339887498949</c:v>
                  </c:pt>
                  <c:pt idx="9">
                    <c:v>1.0897247358851685</c:v>
                  </c:pt>
                </c:numCache>
              </c:numRef>
            </c:plus>
            <c:minus>
              <c:numRef>
                <c:f>Data!$K$27:$T$27</c:f>
                <c:numCache>
                  <c:formatCode>General</c:formatCode>
                  <c:ptCount val="10"/>
                  <c:pt idx="0">
                    <c:v>0.48412291827592713</c:v>
                  </c:pt>
                  <c:pt idx="1">
                    <c:v>0.96824583655185426</c:v>
                  </c:pt>
                  <c:pt idx="2">
                    <c:v>0.78062474979979979</c:v>
                  </c:pt>
                  <c:pt idx="3">
                    <c:v>0.92702481088695787</c:v>
                  </c:pt>
                  <c:pt idx="4">
                    <c:v>0.33071891388307384</c:v>
                  </c:pt>
                  <c:pt idx="5">
                    <c:v>0.66143782776614768</c:v>
                  </c:pt>
                  <c:pt idx="6">
                    <c:v>0.59947894041408989</c:v>
                  </c:pt>
                  <c:pt idx="7">
                    <c:v>1.0532687216470449</c:v>
                  </c:pt>
                  <c:pt idx="8">
                    <c:v>1.1180339887498949</c:v>
                  </c:pt>
                  <c:pt idx="9">
                    <c:v>1.0897247358851685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Data!$K$1:$T$1</c:f>
              <c:strCache>
                <c:ptCount val="10"/>
                <c:pt idx="0">
                  <c:v>Frequency</c:v>
                </c:pt>
                <c:pt idx="1">
                  <c:v>Complex</c:v>
                </c:pt>
                <c:pt idx="2">
                  <c:v>Easy</c:v>
                </c:pt>
                <c:pt idx="3">
                  <c:v>Support</c:v>
                </c:pt>
                <c:pt idx="4">
                  <c:v>Integrated</c:v>
                </c:pt>
                <c:pt idx="5">
                  <c:v>Inconsistency</c:v>
                </c:pt>
                <c:pt idx="6">
                  <c:v>Learn Quickly</c:v>
                </c:pt>
                <c:pt idx="7">
                  <c:v>Awkward</c:v>
                </c:pt>
                <c:pt idx="8">
                  <c:v>Confident</c:v>
                </c:pt>
                <c:pt idx="9">
                  <c:v>Learn Before</c:v>
                </c:pt>
              </c:strCache>
            </c:strRef>
          </c:cat>
          <c:val>
            <c:numRef>
              <c:f>Data!$K$21:$O$21</c:f>
              <c:numCache>
                <c:formatCode>0.00</c:formatCode>
                <c:ptCount val="5"/>
                <c:pt idx="0">
                  <c:v>4.375</c:v>
                </c:pt>
                <c:pt idx="1">
                  <c:v>2.25</c:v>
                </c:pt>
                <c:pt idx="2">
                  <c:v>3.875</c:v>
                </c:pt>
                <c:pt idx="3">
                  <c:v>3.125</c:v>
                </c:pt>
                <c:pt idx="4">
                  <c:v>3.875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9-463F-9080-7484BFACC34C}"/>
            </c:ext>
          </c:extLst>
        </c:ser>
        <c:ser>
          <c:idx val="1"/>
          <c:order val="1"/>
          <c:tx>
            <c:v>Session #2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Data!$K$28:$T$28</c:f>
                <c:numCache>
                  <c:formatCode>General</c:formatCode>
                  <c:ptCount val="10"/>
                  <c:pt idx="0">
                    <c:v>0.72843135908468359</c:v>
                  </c:pt>
                  <c:pt idx="1">
                    <c:v>0.7559289460184544</c:v>
                  </c:pt>
                  <c:pt idx="2">
                    <c:v>0.98974331861078702</c:v>
                  </c:pt>
                  <c:pt idx="3">
                    <c:v>0.98974331861078702</c:v>
                  </c:pt>
                  <c:pt idx="4">
                    <c:v>0.45175395145262565</c:v>
                  </c:pt>
                  <c:pt idx="5">
                    <c:v>0.49487165930539351</c:v>
                  </c:pt>
                  <c:pt idx="6">
                    <c:v>0.83299312783504287</c:v>
                  </c:pt>
                  <c:pt idx="7">
                    <c:v>1.0690449676496976</c:v>
                  </c:pt>
                  <c:pt idx="8">
                    <c:v>1.0497813183356477</c:v>
                  </c:pt>
                  <c:pt idx="9">
                    <c:v>1.1248582677159731</c:v>
                  </c:pt>
                </c:numCache>
              </c:numRef>
            </c:plus>
            <c:minus>
              <c:numRef>
                <c:f>Data!$K$28:$T$28</c:f>
                <c:numCache>
                  <c:formatCode>General</c:formatCode>
                  <c:ptCount val="10"/>
                  <c:pt idx="0">
                    <c:v>0.72843135908468359</c:v>
                  </c:pt>
                  <c:pt idx="1">
                    <c:v>0.7559289460184544</c:v>
                  </c:pt>
                  <c:pt idx="2">
                    <c:v>0.98974331861078702</c:v>
                  </c:pt>
                  <c:pt idx="3">
                    <c:v>0.98974331861078702</c:v>
                  </c:pt>
                  <c:pt idx="4">
                    <c:v>0.45175395145262565</c:v>
                  </c:pt>
                  <c:pt idx="5">
                    <c:v>0.49487165930539351</c:v>
                  </c:pt>
                  <c:pt idx="6">
                    <c:v>0.83299312783504287</c:v>
                  </c:pt>
                  <c:pt idx="7">
                    <c:v>1.0690449676496976</c:v>
                  </c:pt>
                  <c:pt idx="8">
                    <c:v>1.0497813183356477</c:v>
                  </c:pt>
                  <c:pt idx="9">
                    <c:v>1.1248582677159731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Data!$K$1:$T$1</c:f>
              <c:strCache>
                <c:ptCount val="10"/>
                <c:pt idx="0">
                  <c:v>Frequency</c:v>
                </c:pt>
                <c:pt idx="1">
                  <c:v>Complex</c:v>
                </c:pt>
                <c:pt idx="2">
                  <c:v>Easy</c:v>
                </c:pt>
                <c:pt idx="3">
                  <c:v>Support</c:v>
                </c:pt>
                <c:pt idx="4">
                  <c:v>Integrated</c:v>
                </c:pt>
                <c:pt idx="5">
                  <c:v>Inconsistency</c:v>
                </c:pt>
                <c:pt idx="6">
                  <c:v>Learn Quickly</c:v>
                </c:pt>
                <c:pt idx="7">
                  <c:v>Awkward</c:v>
                </c:pt>
                <c:pt idx="8">
                  <c:v>Confident</c:v>
                </c:pt>
                <c:pt idx="9">
                  <c:v>Learn Before</c:v>
                </c:pt>
              </c:strCache>
            </c:strRef>
          </c:cat>
          <c:val>
            <c:numRef>
              <c:f>Data!$K$22:$O$22</c:f>
              <c:numCache>
                <c:formatCode>0.00</c:formatCode>
                <c:ptCount val="5"/>
                <c:pt idx="0">
                  <c:v>4.4285714285714288</c:v>
                </c:pt>
                <c:pt idx="1">
                  <c:v>2</c:v>
                </c:pt>
                <c:pt idx="2">
                  <c:v>3.8571428571428572</c:v>
                </c:pt>
                <c:pt idx="3">
                  <c:v>2.8571428571428572</c:v>
                </c:pt>
                <c:pt idx="4">
                  <c:v>3.7142857142857144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9-463F-9080-7484BFAC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5"/>
        <c:axId val="519537384"/>
        <c:axId val="519537712"/>
      </c:barChart>
      <c:catAx>
        <c:axId val="51953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712"/>
        <c:crosses val="autoZero"/>
        <c:auto val="1"/>
        <c:lblAlgn val="ctr"/>
        <c:lblOffset val="100"/>
        <c:noMultiLvlLbl val="0"/>
      </c:catAx>
      <c:valAx>
        <c:axId val="5195377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38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Session #1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Data!$K$27:$T$27</c:f>
                <c:numCache>
                  <c:formatCode>General</c:formatCode>
                  <c:ptCount val="10"/>
                  <c:pt idx="0">
                    <c:v>0.48412291827592713</c:v>
                  </c:pt>
                  <c:pt idx="1">
                    <c:v>0.96824583655185426</c:v>
                  </c:pt>
                  <c:pt idx="2">
                    <c:v>0.78062474979979979</c:v>
                  </c:pt>
                  <c:pt idx="3">
                    <c:v>0.92702481088695787</c:v>
                  </c:pt>
                  <c:pt idx="4">
                    <c:v>0.33071891388307384</c:v>
                  </c:pt>
                  <c:pt idx="5">
                    <c:v>0.66143782776614768</c:v>
                  </c:pt>
                  <c:pt idx="6">
                    <c:v>0.59947894041408989</c:v>
                  </c:pt>
                  <c:pt idx="7">
                    <c:v>1.0532687216470449</c:v>
                  </c:pt>
                  <c:pt idx="8">
                    <c:v>1.1180339887498949</c:v>
                  </c:pt>
                  <c:pt idx="9">
                    <c:v>1.0897247358851685</c:v>
                  </c:pt>
                </c:numCache>
              </c:numRef>
            </c:plus>
            <c:minus>
              <c:numRef>
                <c:f>Data!$K$27:$T$27</c:f>
                <c:numCache>
                  <c:formatCode>General</c:formatCode>
                  <c:ptCount val="10"/>
                  <c:pt idx="0">
                    <c:v>0.48412291827592713</c:v>
                  </c:pt>
                  <c:pt idx="1">
                    <c:v>0.96824583655185426</c:v>
                  </c:pt>
                  <c:pt idx="2">
                    <c:v>0.78062474979979979</c:v>
                  </c:pt>
                  <c:pt idx="3">
                    <c:v>0.92702481088695787</c:v>
                  </c:pt>
                  <c:pt idx="4">
                    <c:v>0.33071891388307384</c:v>
                  </c:pt>
                  <c:pt idx="5">
                    <c:v>0.66143782776614768</c:v>
                  </c:pt>
                  <c:pt idx="6">
                    <c:v>0.59947894041408989</c:v>
                  </c:pt>
                  <c:pt idx="7">
                    <c:v>1.0532687216470449</c:v>
                  </c:pt>
                  <c:pt idx="8">
                    <c:v>1.1180339887498949</c:v>
                  </c:pt>
                  <c:pt idx="9">
                    <c:v>1.0897247358851685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Data!$P$1:$T$1</c:f>
              <c:strCache>
                <c:ptCount val="5"/>
                <c:pt idx="0">
                  <c:v>Inconsistency</c:v>
                </c:pt>
                <c:pt idx="1">
                  <c:v>Learn Quickly</c:v>
                </c:pt>
                <c:pt idx="2">
                  <c:v>Awkward</c:v>
                </c:pt>
                <c:pt idx="3">
                  <c:v>Confident</c:v>
                </c:pt>
                <c:pt idx="4">
                  <c:v>Learn Before</c:v>
                </c:pt>
              </c:strCache>
            </c:strRef>
          </c:cat>
          <c:val>
            <c:numRef>
              <c:f>Data!$P$21:$T$21</c:f>
              <c:numCache>
                <c:formatCode>0.00</c:formatCode>
                <c:ptCount val="5"/>
                <c:pt idx="0">
                  <c:v>2.75</c:v>
                </c:pt>
                <c:pt idx="1">
                  <c:v>3.875</c:v>
                </c:pt>
                <c:pt idx="2">
                  <c:v>2.125</c:v>
                </c:pt>
                <c:pt idx="3">
                  <c:v>3.5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7-4849-808C-214805ECA525}"/>
            </c:ext>
          </c:extLst>
        </c:ser>
        <c:ser>
          <c:idx val="1"/>
          <c:order val="1"/>
          <c:tx>
            <c:v>Session #2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Data!$K$28:$T$28</c:f>
                <c:numCache>
                  <c:formatCode>General</c:formatCode>
                  <c:ptCount val="10"/>
                  <c:pt idx="0">
                    <c:v>0.72843135908468359</c:v>
                  </c:pt>
                  <c:pt idx="1">
                    <c:v>0.7559289460184544</c:v>
                  </c:pt>
                  <c:pt idx="2">
                    <c:v>0.98974331861078702</c:v>
                  </c:pt>
                  <c:pt idx="3">
                    <c:v>0.98974331861078702</c:v>
                  </c:pt>
                  <c:pt idx="4">
                    <c:v>0.45175395145262565</c:v>
                  </c:pt>
                  <c:pt idx="5">
                    <c:v>0.49487165930539351</c:v>
                  </c:pt>
                  <c:pt idx="6">
                    <c:v>0.83299312783504287</c:v>
                  </c:pt>
                  <c:pt idx="7">
                    <c:v>1.0690449676496976</c:v>
                  </c:pt>
                  <c:pt idx="8">
                    <c:v>1.0497813183356477</c:v>
                  </c:pt>
                  <c:pt idx="9">
                    <c:v>1.1248582677159731</c:v>
                  </c:pt>
                </c:numCache>
              </c:numRef>
            </c:plus>
            <c:minus>
              <c:numRef>
                <c:f>Data!$K$28:$T$28</c:f>
                <c:numCache>
                  <c:formatCode>General</c:formatCode>
                  <c:ptCount val="10"/>
                  <c:pt idx="0">
                    <c:v>0.72843135908468359</c:v>
                  </c:pt>
                  <c:pt idx="1">
                    <c:v>0.7559289460184544</c:v>
                  </c:pt>
                  <c:pt idx="2">
                    <c:v>0.98974331861078702</c:v>
                  </c:pt>
                  <c:pt idx="3">
                    <c:v>0.98974331861078702</c:v>
                  </c:pt>
                  <c:pt idx="4">
                    <c:v>0.45175395145262565</c:v>
                  </c:pt>
                  <c:pt idx="5">
                    <c:v>0.49487165930539351</c:v>
                  </c:pt>
                  <c:pt idx="6">
                    <c:v>0.83299312783504287</c:v>
                  </c:pt>
                  <c:pt idx="7">
                    <c:v>1.0690449676496976</c:v>
                  </c:pt>
                  <c:pt idx="8">
                    <c:v>1.0497813183356477</c:v>
                  </c:pt>
                  <c:pt idx="9">
                    <c:v>1.1248582677159731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Data!$P$1:$T$1</c:f>
              <c:strCache>
                <c:ptCount val="5"/>
                <c:pt idx="0">
                  <c:v>Inconsistency</c:v>
                </c:pt>
                <c:pt idx="1">
                  <c:v>Learn Quickly</c:v>
                </c:pt>
                <c:pt idx="2">
                  <c:v>Awkward</c:v>
                </c:pt>
                <c:pt idx="3">
                  <c:v>Confident</c:v>
                </c:pt>
                <c:pt idx="4">
                  <c:v>Learn Before</c:v>
                </c:pt>
              </c:strCache>
            </c:strRef>
          </c:cat>
          <c:val>
            <c:numRef>
              <c:f>Data!$P$22:$T$22</c:f>
              <c:numCache>
                <c:formatCode>0.00</c:formatCode>
                <c:ptCount val="5"/>
                <c:pt idx="0">
                  <c:v>2.4285714285714284</c:v>
                </c:pt>
                <c:pt idx="1">
                  <c:v>3.8571428571428572</c:v>
                </c:pt>
                <c:pt idx="2">
                  <c:v>2</c:v>
                </c:pt>
                <c:pt idx="3">
                  <c:v>3.5714285714285716</c:v>
                </c:pt>
                <c:pt idx="4">
                  <c:v>1.8571428571428572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7-4849-808C-214805ECA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5"/>
        <c:axId val="519537384"/>
        <c:axId val="519537712"/>
      </c:barChart>
      <c:catAx>
        <c:axId val="51953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712"/>
        <c:crosses val="autoZero"/>
        <c:auto val="1"/>
        <c:lblAlgn val="ctr"/>
        <c:lblOffset val="100"/>
        <c:noMultiLvlLbl val="0"/>
      </c:catAx>
      <c:valAx>
        <c:axId val="5195377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38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NASA-TLX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Difference between 1st and 2nd session</c:v>
          </c:tx>
          <c:invertIfNegative val="0"/>
          <c:dLbls>
            <c:dLbl>
              <c:idx val="1"/>
              <c:layout>
                <c:manualLayout>
                  <c:x val="-8.6032732375874693E-2"/>
                  <c:y val="8.347494132923863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9B-4D56-9E00-B9B95D21487F}"/>
                </c:ext>
              </c:extLst>
            </c:dLbl>
            <c:dLbl>
              <c:idx val="4"/>
              <c:layout>
                <c:manualLayout>
                  <c:x val="-0.1774165805922675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9B-4D56-9E00-B9B95D2148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Data!$D$1:$I$1</c:f>
              <c:strCache>
                <c:ptCount val="6"/>
                <c:pt idx="0">
                  <c:v>Mental</c:v>
                </c:pt>
                <c:pt idx="1">
                  <c:v>Physical</c:v>
                </c:pt>
                <c:pt idx="2">
                  <c:v>Temporal</c:v>
                </c:pt>
                <c:pt idx="3">
                  <c:v>Performance</c:v>
                </c:pt>
                <c:pt idx="4">
                  <c:v>Effort</c:v>
                </c:pt>
                <c:pt idx="5">
                  <c:v>Frustration</c:v>
                </c:pt>
              </c:strCache>
            </c:strRef>
          </c:cat>
          <c:val>
            <c:numRef>
              <c:f>Data!$D$23:$I$23</c:f>
              <c:numCache>
                <c:formatCode>0%</c:formatCode>
                <c:ptCount val="6"/>
                <c:pt idx="0">
                  <c:v>1.5776699029126227E-2</c:v>
                </c:pt>
                <c:pt idx="1">
                  <c:v>-1.0000000000000028E-2</c:v>
                </c:pt>
                <c:pt idx="2">
                  <c:v>8.1310679611650505E-2</c:v>
                </c:pt>
                <c:pt idx="3">
                  <c:v>0.42788461538461553</c:v>
                </c:pt>
                <c:pt idx="4">
                  <c:v>-7.0652173913043542E-2</c:v>
                </c:pt>
                <c:pt idx="5">
                  <c:v>1.6826923076923062E-2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F-4D02-BB24-8E8ACF5D6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9537384"/>
        <c:axId val="519537712"/>
      </c:barChart>
      <c:catAx>
        <c:axId val="51953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712"/>
        <c:crosses val="autoZero"/>
        <c:auto val="1"/>
        <c:lblAlgn val="ctr"/>
        <c:lblOffset val="100"/>
        <c:noMultiLvlLbl val="0"/>
      </c:catAx>
      <c:valAx>
        <c:axId val="51953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Difference between 1st and 2nd session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Data!$K$1:$P$1</c:f>
              <c:strCache>
                <c:ptCount val="6"/>
                <c:pt idx="0">
                  <c:v>Frequency</c:v>
                </c:pt>
                <c:pt idx="1">
                  <c:v>Complex</c:v>
                </c:pt>
                <c:pt idx="2">
                  <c:v>Easy</c:v>
                </c:pt>
                <c:pt idx="3">
                  <c:v>Support</c:v>
                </c:pt>
                <c:pt idx="4">
                  <c:v>Integrated</c:v>
                </c:pt>
                <c:pt idx="5">
                  <c:v>Inconsistency</c:v>
                </c:pt>
              </c:strCache>
            </c:strRef>
          </c:cat>
          <c:val>
            <c:numRef>
              <c:f>Data!$K$23:$P$23</c:f>
              <c:numCache>
                <c:formatCode>0%</c:formatCode>
                <c:ptCount val="6"/>
                <c:pt idx="0">
                  <c:v>1.2244897959183732E-2</c:v>
                </c:pt>
                <c:pt idx="1">
                  <c:v>-0.1111111111111111</c:v>
                </c:pt>
                <c:pt idx="2" formatCode="0.0%">
                  <c:v>-4.6082949308755596E-3</c:v>
                </c:pt>
                <c:pt idx="3">
                  <c:v>-8.5714285714285687E-2</c:v>
                </c:pt>
                <c:pt idx="4">
                  <c:v>-4.147465437788015E-2</c:v>
                </c:pt>
                <c:pt idx="5">
                  <c:v>-0.11688311688311695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D-4649-B713-8C55E02C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9537384"/>
        <c:axId val="519537712"/>
      </c:barChart>
      <c:catAx>
        <c:axId val="51953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712"/>
        <c:crosses val="autoZero"/>
        <c:auto val="1"/>
        <c:lblAlgn val="ctr"/>
        <c:lblOffset val="100"/>
        <c:noMultiLvlLbl val="0"/>
      </c:catAx>
      <c:valAx>
        <c:axId val="51953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3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45-4CC2-8D9C-C8D728402B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Data!$Q$1:$X$1</c:f>
              <c:strCache>
                <c:ptCount val="8"/>
                <c:pt idx="0">
                  <c:v>Learn Quickly</c:v>
                </c:pt>
                <c:pt idx="1">
                  <c:v>Awkward</c:v>
                </c:pt>
                <c:pt idx="2">
                  <c:v>Confident</c:v>
                </c:pt>
                <c:pt idx="3">
                  <c:v>Learn Before</c:v>
                </c:pt>
                <c:pt idx="6">
                  <c:v>SUS</c:v>
                </c:pt>
                <c:pt idx="7">
                  <c:v>Bangor Rating</c:v>
                </c:pt>
              </c:strCache>
            </c:strRef>
          </c:cat>
          <c:val>
            <c:numRef>
              <c:f>Data!$Q$23:$X$23</c:f>
              <c:numCache>
                <c:formatCode>0%</c:formatCode>
                <c:ptCount val="8"/>
                <c:pt idx="0" formatCode="0.0%">
                  <c:v>-4.6082949308755596E-3</c:v>
                </c:pt>
                <c:pt idx="1">
                  <c:v>-5.8823529411764705E-2</c:v>
                </c:pt>
                <c:pt idx="2">
                  <c:v>2.0408163265306176E-2</c:v>
                </c:pt>
                <c:pt idx="3">
                  <c:v>-0.17460317460317457</c:v>
                </c:pt>
                <c:pt idx="6">
                  <c:v>4.7619047619047526E-2</c:v>
                </c:pt>
                <c:pt idx="7">
                  <c:v>-9.5238095238095698E-3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5-4CC2-8D9C-C8D72840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9537384"/>
        <c:axId val="519537712"/>
      </c:barChart>
      <c:catAx>
        <c:axId val="51953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712"/>
        <c:crosses val="autoZero"/>
        <c:auto val="1"/>
        <c:lblAlgn val="ctr"/>
        <c:lblOffset val="100"/>
        <c:noMultiLvlLbl val="0"/>
      </c:catAx>
      <c:valAx>
        <c:axId val="519537712"/>
        <c:scaling>
          <c:orientation val="minMax"/>
          <c:max val="5.000000000000001E-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119062</xdr:rowOff>
    </xdr:from>
    <xdr:to>
      <xdr:col>8</xdr:col>
      <xdr:colOff>314325</xdr:colOff>
      <xdr:row>18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54AD5-B31C-4A19-A988-CFAD63662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466310</xdr:colOff>
      <xdr:row>2</xdr:row>
      <xdr:rowOff>132936</xdr:rowOff>
    </xdr:from>
    <xdr:to>
      <xdr:col>16</xdr:col>
      <xdr:colOff>165652</xdr:colOff>
      <xdr:row>18</xdr:row>
      <xdr:rowOff>132936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6C26E4-0185-420F-8112-11C735AC0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593448</xdr:colOff>
      <xdr:row>19</xdr:row>
      <xdr:rowOff>130037</xdr:rowOff>
    </xdr:from>
    <xdr:to>
      <xdr:col>8</xdr:col>
      <xdr:colOff>296104</xdr:colOff>
      <xdr:row>35</xdr:row>
      <xdr:rowOff>130037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6B139E-5AC9-437E-A141-D60CCD32C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461756</xdr:colOff>
      <xdr:row>19</xdr:row>
      <xdr:rowOff>140803</xdr:rowOff>
    </xdr:from>
    <xdr:to>
      <xdr:col>16</xdr:col>
      <xdr:colOff>161098</xdr:colOff>
      <xdr:row>35</xdr:row>
      <xdr:rowOff>143288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AC9DAC-E47F-4D1B-8285-F95B4755D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37</xdr:row>
      <xdr:rowOff>47625</xdr:rowOff>
    </xdr:from>
    <xdr:to>
      <xdr:col>8</xdr:col>
      <xdr:colOff>289892</xdr:colOff>
      <xdr:row>53</xdr:row>
      <xdr:rowOff>50110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29AC6B-15C7-4EB0-9891-00FF4108D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457200</xdr:colOff>
      <xdr:row>37</xdr:row>
      <xdr:rowOff>38100</xdr:rowOff>
    </xdr:from>
    <xdr:to>
      <xdr:col>16</xdr:col>
      <xdr:colOff>156542</xdr:colOff>
      <xdr:row>53</xdr:row>
      <xdr:rowOff>40585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306F2C-B8FD-4357-A97B-DECC61F80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J Matthews" id="{5A2E1CFD-A89E-492D-B15F-99FCBE7F7B97}" userId="083d22edb61a03e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0-04-12T21:11:31.32" personId="{5A2E1CFD-A89E-492D-B15F-99FCBE7F7B97}" id="{7353BA0E-66DB-4FB9-AFB1-B662EF7B6119}">
    <text>Accidentally pressed back</text>
  </threadedComment>
  <threadedComment ref="B2" dT="2020-04-12T21:12:32.24" personId="{5A2E1CFD-A89E-492D-B15F-99FCBE7F7B97}" id="{3BF6678A-8C6E-4712-AB51-D2C22BC98954}" parentId="{7353BA0E-66DB-4FB9-AFB1-B662EF7B6119}">
    <text>Accidental selection</text>
  </threadedComment>
  <threadedComment ref="F2" dT="2020-04-12T21:12:05.34" personId="{5A2E1CFD-A89E-492D-B15F-99FCBE7F7B97}" id="{C447B083-E268-45FB-AD6B-F4676C41087E}">
    <text>Wanted to use bag-valve mask</text>
  </threadedComment>
  <threadedComment ref="B3" dT="2020-04-12T21:36:31.50" personId="{5A2E1CFD-A89E-492D-B15F-99FCBE7F7B97}" id="{B43ED86E-777E-49EF-A977-3A111D0C56E9}">
    <text>Accidentally pressed back</text>
  </threadedComment>
  <threadedComment ref="B4" dT="2020-04-12T21:37:26.26" personId="{5A2E1CFD-A89E-492D-B15F-99FCBE7F7B97}" id="{9C6D4496-E9A2-4207-83CA-2705B808577E}">
    <text>Difficulty navigating</text>
  </threadedComment>
  <threadedComment ref="F4" dT="2020-04-12T21:38:14.38" personId="{5A2E1CFD-A89E-492D-B15F-99FCBE7F7B97}" id="{CA090CB5-DF3D-4C45-B02E-5813319A4ABB}">
    <text>Wanted to use bag-valve</text>
  </threadedComment>
  <threadedComment ref="B6" dT="2020-03-10T15:49:38.99" personId="{5A2E1CFD-A89E-492D-B15F-99FCBE7F7B97}" id="{DE578A71-DBBB-480A-8D03-F3EBFAB4A101}">
    <text>Selected Radin instead of Valium</text>
  </threadedComment>
  <threadedComment ref="C6" dT="2020-03-10T15:37:31.96" personId="{5A2E1CFD-A89E-492D-B15F-99FCBE7F7B97}" id="{CB11DE58-D7F6-4AE8-8E33-E7A30B544E47}">
    <text>Didn't know if valium was given</text>
  </threadedComment>
  <threadedComment ref="C6" dT="2020-03-10T15:46:56.30" personId="{5A2E1CFD-A89E-492D-B15F-99FCBE7F7B97}" id="{E358F6B1-D249-4016-B69D-70791769DD0E}" parentId="{CB11DE58-D7F6-4AE8-8E33-E7A30B544E47}">
    <text>Didn't know if fosphenytoin was given</text>
  </threadedComment>
  <threadedComment ref="E6" dT="2020-03-10T15:39:29.92" personId="{5A2E1CFD-A89E-492D-B15F-99FCBE7F7B97}" id="{6217A721-3CBF-431D-B367-7E4A21666BB2}">
    <text>Valium</text>
  </threadedComment>
  <threadedComment ref="E6" dT="2020-03-10T15:47:11.76" personId="{5A2E1CFD-A89E-492D-B15F-99FCBE7F7B97}" id="{7710E32C-E730-4656-BA5F-FB7D39AC0817}" parentId="{6217A721-3CBF-431D-B367-7E4A21666BB2}">
    <text>Phenobarbital</text>
  </threadedComment>
  <threadedComment ref="E6" dT="2020-03-10T15:47:18.47" personId="{5A2E1CFD-A89E-492D-B15F-99FCBE7F7B97}" id="{A2395344-DD0C-441E-AEF5-76102CDB9E03}" parentId="{6217A721-3CBF-431D-B367-7E4A21666BB2}">
    <text>Keppra</text>
  </threadedComment>
  <threadedComment ref="G6" dT="2020-03-10T15:36:38.67" personId="{5A2E1CFD-A89E-492D-B15F-99FCBE7F7B97}" id="{8A77FC5F-85B5-4288-BA5D-EDF1964C1D41}">
    <text>Move the patient to their side</text>
  </threadedComment>
  <threadedComment ref="G6" dT="2020-03-10T15:54:23.61" personId="{5A2E1CFD-A89E-492D-B15F-99FCBE7F7B97}" id="{B5F0140C-56DF-448D-9309-732BF116B2FE}" parentId="{8A77FC5F-85B5-4288-BA5D-EDF1964C1D41}">
    <text>Patient history</text>
  </threadedComment>
  <threadedComment ref="H6" dT="2020-03-10T16:17:19.10" personId="{5A2E1CFD-A89E-492D-B15F-99FCBE7F7B97}" id="{C6C03DBC-75C0-4C7B-A6BE-AB20957037F8}">
    <text>Assumption of IV setup automatically</text>
  </threadedComment>
  <threadedComment ref="D7" dT="2020-03-10T15:04:03.63" personId="{5A2E1CFD-A89E-492D-B15F-99FCBE7F7B97}" id="{FA8E3529-61C9-410F-A974-CF564122A793}">
    <text>Couldn't find medications</text>
  </threadedComment>
  <threadedComment ref="E7" dT="2020-03-10T14:38:41.50" personId="{5A2E1CFD-A89E-492D-B15F-99FCBE7F7B97}" id="{268A5EC4-6168-452E-B384-663BBF205653}">
    <text>Give fluids</text>
  </threadedComment>
  <threadedComment ref="E7" dT="2020-03-10T15:53:03.28" personId="{5A2E1CFD-A89E-492D-B15F-99FCBE7F7B97}" id="{BEA110B9-86EA-4AE1-A9FB-5B0E1C92DA98}" parentId="{268A5EC4-6168-452E-B384-663BBF205653}">
    <text>Dexamethasone</text>
  </threadedComment>
  <threadedComment ref="G7" dT="2020-03-10T14:38:00.46" personId="{5A2E1CFD-A89E-492D-B15F-99FCBE7F7B97}" id="{6BFC6DB7-AA3D-4D2E-B16A-0FAB1C810BF5}">
    <text>Blood gas</text>
  </threadedComment>
  <threadedComment ref="G7" dT="2020-03-10T14:51:00.44" personId="{5A2E1CFD-A89E-492D-B15F-99FCBE7F7B97}" id="{16E8D04C-F617-444D-B3CA-B816D3396D06}" parentId="{6BFC6DB7-AA3D-4D2E-B16A-0FAB1C810BF5}">
    <text>Airway intact?</text>
  </threadedComment>
  <threadedComment ref="G7" dT="2020-03-10T14:51:57.75" personId="{5A2E1CFD-A89E-492D-B15F-99FCBE7F7B97}" id="{77F572E1-3019-4171-AFA9-424E0544A002}" parentId="{6BFC6DB7-AA3D-4D2E-B16A-0FAB1C810BF5}">
    <text>Assess abdomen</text>
  </threadedComment>
  <threadedComment ref="B8" dT="2020-03-10T16:16:55.94" personId="{5A2E1CFD-A89E-492D-B15F-99FCBE7F7B97}" id="{BD540D63-C38E-4EFC-AA1E-104D4E658DFC}">
    <text>Spoke to pharmacist instead of selecting</text>
  </threadedComment>
  <threadedComment ref="F8" dT="2020-04-13T10:38:50.00" personId="{5A2E1CFD-A89E-492D-B15F-99FCBE7F7B97}" id="{716A21CC-8E05-432E-89D6-6B3107C52697}">
    <text>Bag valve</text>
  </threadedComment>
  <threadedComment ref="H8" dT="2020-03-10T16:19:38.19" personId="{5A2E1CFD-A89E-492D-B15F-99FCBE7F7B97}" id="{AF6EC709-98A8-4875-910D-6E08D5341DC1}">
    <text>Did NRB before suction</text>
  </threadedComment>
  <threadedComment ref="B10" dT="2020-03-10T16:34:11.39" personId="{5A2E1CFD-A89E-492D-B15F-99FCBE7F7B97}" id="{3B1F4275-F533-4F87-8D23-C3DB4651DE8B}">
    <text>Didn't know how to return</text>
  </threadedComment>
  <threadedComment ref="B10" dT="2020-03-10T16:34:30.96" personId="{5A2E1CFD-A89E-492D-B15F-99FCBE7F7B97}" id="{E740B061-00C5-4D9B-B554-341468046F33}" parentId="{3B1F4275-F533-4F87-8D23-C3DB4651DE8B}">
    <text>Accidentally cancelled instead of selected</text>
  </threadedComment>
  <threadedComment ref="F10" dT="2020-03-10T16:37:48.52" personId="{5A2E1CFD-A89E-492D-B15F-99FCBE7F7B97}" id="{4D1224C6-2C04-4590-B6EA-FC2581D8E453}">
    <text>Nasal cannula</text>
  </threadedComment>
  <threadedComment ref="B11" dT="2020-03-10T16:38:55.12" personId="{5A2E1CFD-A89E-492D-B15F-99FCBE7F7B97}" id="{EFE229B2-9B67-4D47-91C2-D5CCBB5ED368}">
    <text>Selected wrong medication</text>
  </threadedComment>
  <threadedComment ref="D11" dT="2020-03-10T17:27:19.04" personId="{5A2E1CFD-A89E-492D-B15F-99FCBE7F7B97}" id="{5FACBAA7-3CE4-44A4-A8C3-18941030C8C9}">
    <text>Couldn't find albuterol</text>
  </threadedComment>
  <threadedComment ref="E11" dT="2020-03-10T16:40:09.71" personId="{5A2E1CFD-A89E-492D-B15F-99FCBE7F7B97}" id="{028DB698-0D90-4678-A4D5-D955CBA8AED0}">
    <text>Bolus</text>
  </threadedComment>
  <threadedComment ref="C12" dT="2020-03-10T16:43:37.22" personId="{5A2E1CFD-A89E-492D-B15F-99FCBE7F7B97}" id="{E940808D-F0D7-4A5D-999B-F17AAB4DC4FD}">
    <text>Thought medication had been given when it hadn't</text>
  </threadedComment>
  <threadedComment ref="D12" dT="2020-03-10T16:42:55.56" personId="{5A2E1CFD-A89E-492D-B15F-99FCBE7F7B97}" id="{282A35E1-F834-436B-AD40-4E9D6430B54B}">
    <text>Couldn't find medications</text>
  </threadedComment>
  <threadedComment ref="B13" dT="2020-03-10T17:00:08.99" personId="{5A2E1CFD-A89E-492D-B15F-99FCBE7F7B97}" id="{B38C7EFB-DE0E-47B8-910D-B7422D037584}">
    <text>Selected wrong medication</text>
  </threadedComment>
  <threadedComment ref="E13" dT="2020-03-10T16:50:48.29" personId="{5A2E1CFD-A89E-492D-B15F-99FCBE7F7B97}" id="{4AA08E60-DE92-4A6D-9813-166CF8465FF0}">
    <text>Bolus</text>
  </threadedComment>
  <threadedComment ref="E13" dT="2020-03-10T16:59:30.39" personId="{5A2E1CFD-A89E-492D-B15F-99FCBE7F7B97}" id="{E3D0C4CE-4B18-4171-A181-966A373EE9BF}" parentId="{4AA08E60-DE92-4A6D-9813-166CF8465FF0}">
    <text>Fluids</text>
  </threadedComment>
  <threadedComment ref="F13" dT="2020-03-10T16:47:29.88" personId="{5A2E1CFD-A89E-492D-B15F-99FCBE7F7B97}" id="{C16D2154-54E9-4FDC-B68B-1EE5A7FFF7DB}">
    <text>Unnecessary NRB</text>
  </threadedComment>
  <threadedComment ref="B14" dT="2020-03-10T17:20:16.35" personId="{5A2E1CFD-A89E-492D-B15F-99FCBE7F7B97}" id="{27062663-3D24-42E7-B351-20DD8A84F044}">
    <text>Didn't know how to select</text>
  </threadedComment>
  <threadedComment ref="B15" dT="2020-03-10T17:06:54.65" personId="{5A2E1CFD-A89E-492D-B15F-99FCBE7F7B97}" id="{B966E387-2D60-4C75-A664-B7EF9116420B}">
    <text>Got stuck, didn't know how to go back</text>
  </threadedComment>
  <threadedComment ref="E15" dT="2020-03-10T17:05:32.62" personId="{5A2E1CFD-A89E-492D-B15F-99FCBE7F7B97}" id="{1BCE9C1A-4D49-406A-BD93-358EE97B7579}">
    <text>Fluids</text>
  </threadedComment>
  <threadedComment ref="F15" dT="2020-03-10T17:06:27.70" personId="{5A2E1CFD-A89E-492D-B15F-99FCBE7F7B97}" id="{39716611-9F8D-4FE6-8B50-F3B0BCB0AF90}">
    <text>Nasal cannula</text>
  </threadedComment>
  <threadedComment ref="H15" dT="2020-03-10T17:08:23.91" personId="{5A2E1CFD-A89E-492D-B15F-99FCBE7F7B97}" id="{B16AD42C-7638-4EAC-8E1B-76189D811331}">
    <text>Expected automatic IV</text>
  </threadedComment>
  <threadedComment ref="C16" dT="2020-03-10T17:10:19.09" personId="{5A2E1CFD-A89E-492D-B15F-99FCBE7F7B97}" id="{A48AF0F1-FBD6-4ABB-94E2-83BFDA615D3C}">
    <text>Didn't know state of airway tools</text>
  </threadedComment>
  <threadedComment ref="C16" dT="2020-03-10T17:10:27.52" personId="{5A2E1CFD-A89E-492D-B15F-99FCBE7F7B97}" id="{272C4283-329E-4A7D-904A-A3155266FCF3}" parentId="{A48AF0F1-FBD6-4ABB-94E2-83BFDA615D3C}">
    <text>Didn't know meds hadn't been given</text>
  </threadedComment>
  <threadedComment ref="B17" dT="2020-03-10T17:10:58.12" personId="{5A2E1CFD-A89E-492D-B15F-99FCBE7F7B97}" id="{39A228AA-CEA6-45FB-8C99-2C41E97922FB}">
    <text>Didn't know how to select patient</text>
  </threadedComment>
  <threadedComment ref="C17" dT="2020-03-10T17:16:07.31" personId="{5A2E1CFD-A89E-492D-B15F-99FCBE7F7B97}" id="{8124588B-FBAD-439E-9183-D5CEA18F9AFB}">
    <text>Didn't know meds given</text>
  </threadedComment>
  <threadedComment ref="C17" dT="2020-03-10T17:16:15.78" personId="{5A2E1CFD-A89E-492D-B15F-99FCBE7F7B97}" id="{72CA3D4A-DD67-428A-9BF7-4C8BD36EF8BC}" parentId="{8124588B-FBAD-439E-9183-D5CEA18F9AFB}">
    <text>Didn't know airway used</text>
  </threadedComment>
  <threadedComment ref="E17" dT="2020-03-10T17:12:58.77" personId="{5A2E1CFD-A89E-492D-B15F-99FCBE7F7B97}" id="{A9D5123A-696E-4E31-BCA5-A7A1F3632827}">
    <text>Fluids</text>
  </threadedComment>
  <threadedComment ref="D18" dT="2020-03-10T17:26:54.41" personId="{5A2E1CFD-A89E-492D-B15F-99FCBE7F7B97}" id="{A3ED5964-0D79-477A-B91A-CCF5028AF790}">
    <text>Couldn't find albuterol</text>
  </threadedComment>
  <threadedComment ref="H18" dT="2020-03-10T17:18:24.85" personId="{5A2E1CFD-A89E-492D-B15F-99FCBE7F7B97}" id="{7819E943-E71F-4B6B-A637-884FAA02298F}">
    <text>Expected automatic IV</text>
  </threadedComment>
  <threadedComment ref="F19" dT="2020-03-10T17:30:20.18" personId="{5A2E1CFD-A89E-492D-B15F-99FCBE7F7B97}" id="{66AACD2E-2E05-4E2F-A843-A44708E2D37C}">
    <text>Nasal cannula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topLeftCell="A22" workbookViewId="0">
      <selection activeCell="B52" sqref="B52"/>
    </sheetView>
  </sheetViews>
  <sheetFormatPr defaultRowHeight="13.5" x14ac:dyDescent="0.25"/>
  <cols>
    <col min="1" max="1" width="23.28515625" bestFit="1" customWidth="1"/>
    <col min="2" max="2" width="19.140625" bestFit="1" customWidth="1"/>
    <col min="3" max="3" width="76.85546875" bestFit="1" customWidth="1"/>
  </cols>
  <sheetData>
    <row r="1" spans="1:3" x14ac:dyDescent="0.25">
      <c r="A1" t="s">
        <v>17</v>
      </c>
      <c r="C1" t="s">
        <v>18</v>
      </c>
    </row>
    <row r="2" spans="1:3" x14ac:dyDescent="0.25">
      <c r="A2" t="s">
        <v>16</v>
      </c>
      <c r="C2" t="s">
        <v>19</v>
      </c>
    </row>
    <row r="3" spans="1:3" x14ac:dyDescent="0.25">
      <c r="A3" t="s">
        <v>20</v>
      </c>
      <c r="C3" s="1" t="s">
        <v>21</v>
      </c>
    </row>
    <row r="4" spans="1:3" x14ac:dyDescent="0.25">
      <c r="A4" t="s">
        <v>15</v>
      </c>
      <c r="C4" t="s">
        <v>22</v>
      </c>
    </row>
    <row r="5" spans="1:3" x14ac:dyDescent="0.25">
      <c r="A5" t="s">
        <v>14</v>
      </c>
      <c r="C5" t="s">
        <v>23</v>
      </c>
    </row>
    <row r="6" spans="1:3" x14ac:dyDescent="0.25">
      <c r="A6" t="s">
        <v>13</v>
      </c>
      <c r="C6" t="s">
        <v>24</v>
      </c>
    </row>
    <row r="7" spans="1:3" x14ac:dyDescent="0.25">
      <c r="A7" t="s">
        <v>12</v>
      </c>
      <c r="C7" t="s">
        <v>25</v>
      </c>
    </row>
    <row r="8" spans="1:3" x14ac:dyDescent="0.25">
      <c r="A8" t="s">
        <v>11</v>
      </c>
      <c r="C8" t="s">
        <v>26</v>
      </c>
    </row>
    <row r="9" spans="1:3" x14ac:dyDescent="0.25">
      <c r="A9" t="s">
        <v>10</v>
      </c>
      <c r="B9" t="s">
        <v>38</v>
      </c>
      <c r="C9" t="s">
        <v>27</v>
      </c>
    </row>
    <row r="10" spans="1:3" ht="13.15" customHeight="1" x14ac:dyDescent="0.3">
      <c r="A10" t="s">
        <v>9</v>
      </c>
      <c r="B10">
        <v>1</v>
      </c>
      <c r="C10" s="2" t="s">
        <v>28</v>
      </c>
    </row>
    <row r="11" spans="1:3" ht="13.9" customHeight="1" x14ac:dyDescent="0.25">
      <c r="A11" t="s">
        <v>8</v>
      </c>
      <c r="C11" s="3" t="s">
        <v>29</v>
      </c>
    </row>
    <row r="12" spans="1:3" ht="13.15" customHeight="1" x14ac:dyDescent="0.25">
      <c r="A12" t="s">
        <v>7</v>
      </c>
      <c r="B12" t="s">
        <v>39</v>
      </c>
      <c r="C12" s="4" t="s">
        <v>30</v>
      </c>
    </row>
    <row r="13" spans="1:3" ht="13.9" customHeight="1" x14ac:dyDescent="0.3">
      <c r="A13" t="s">
        <v>6</v>
      </c>
      <c r="C13" s="2" t="s">
        <v>31</v>
      </c>
    </row>
    <row r="14" spans="1:3" ht="16.5" x14ac:dyDescent="0.3">
      <c r="A14" t="s">
        <v>5</v>
      </c>
      <c r="B14" t="s">
        <v>40</v>
      </c>
      <c r="C14" s="2" t="s">
        <v>32</v>
      </c>
    </row>
    <row r="15" spans="1:3" ht="16.5" x14ac:dyDescent="0.3">
      <c r="A15" t="s">
        <v>4</v>
      </c>
      <c r="B15">
        <v>5</v>
      </c>
      <c r="C15" s="2" t="s">
        <v>33</v>
      </c>
    </row>
    <row r="16" spans="1:3" ht="16.5" x14ac:dyDescent="0.25">
      <c r="A16" t="s">
        <v>3</v>
      </c>
      <c r="C16" s="3" t="s">
        <v>34</v>
      </c>
    </row>
    <row r="17" spans="1:3" ht="16.5" x14ac:dyDescent="0.25">
      <c r="A17" t="s">
        <v>2</v>
      </c>
      <c r="C17" s="3" t="s">
        <v>35</v>
      </c>
    </row>
    <row r="18" spans="1:3" ht="13.15" customHeight="1" x14ac:dyDescent="0.3">
      <c r="A18" t="s">
        <v>1</v>
      </c>
      <c r="C18" s="2" t="s">
        <v>36</v>
      </c>
    </row>
    <row r="19" spans="1:3" ht="13.9" customHeight="1" x14ac:dyDescent="0.25">
      <c r="A19" t="s">
        <v>0</v>
      </c>
      <c r="B19" t="s">
        <v>41</v>
      </c>
      <c r="C19" s="3" t="s">
        <v>37</v>
      </c>
    </row>
    <row r="20" spans="1:3" ht="13.15" customHeight="1" x14ac:dyDescent="0.25">
      <c r="B20" t="s">
        <v>39</v>
      </c>
    </row>
    <row r="21" spans="1:3" ht="13.9" customHeight="1" x14ac:dyDescent="0.25">
      <c r="B21" t="s"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zoomScale="115" zoomScaleNormal="115" workbookViewId="0">
      <selection activeCell="W2" sqref="W2"/>
    </sheetView>
  </sheetViews>
  <sheetFormatPr defaultRowHeight="12.75" x14ac:dyDescent="0.2"/>
  <cols>
    <col min="1" max="2" width="3.85546875" style="11" customWidth="1"/>
    <col min="3" max="3" width="7.28515625" style="11" bestFit="1" customWidth="1"/>
    <col min="4" max="24" width="11.5703125" style="14" customWidth="1"/>
    <col min="25" max="25" width="9.140625" style="11"/>
    <col min="26" max="26" width="9.28515625" style="11" customWidth="1"/>
    <col min="27" max="16384" width="9.140625" style="11"/>
  </cols>
  <sheetData>
    <row r="1" spans="1:27" x14ac:dyDescent="0.2">
      <c r="A1" s="11" t="s">
        <v>17</v>
      </c>
      <c r="B1" s="11" t="s">
        <v>79</v>
      </c>
      <c r="C1" s="11" t="s">
        <v>100</v>
      </c>
      <c r="D1" s="14" t="s">
        <v>63</v>
      </c>
      <c r="E1" s="14" t="s">
        <v>64</v>
      </c>
      <c r="F1" s="14" t="s">
        <v>65</v>
      </c>
      <c r="G1" s="14" t="s">
        <v>66</v>
      </c>
      <c r="H1" s="14" t="s">
        <v>67</v>
      </c>
      <c r="I1" s="14" t="s">
        <v>68</v>
      </c>
      <c r="J1" s="14" t="s">
        <v>182</v>
      </c>
      <c r="K1" s="14" t="s">
        <v>71</v>
      </c>
      <c r="L1" s="14" t="s">
        <v>72</v>
      </c>
      <c r="M1" s="14" t="s">
        <v>73</v>
      </c>
      <c r="N1" s="14" t="s">
        <v>74</v>
      </c>
      <c r="O1" s="14" t="s">
        <v>75</v>
      </c>
      <c r="P1" s="14" t="s">
        <v>76</v>
      </c>
      <c r="Q1" s="14" t="s">
        <v>151</v>
      </c>
      <c r="R1" s="14" t="s">
        <v>77</v>
      </c>
      <c r="S1" s="14" t="s">
        <v>78</v>
      </c>
      <c r="T1" s="14" t="s">
        <v>150</v>
      </c>
      <c r="W1" s="14" t="s">
        <v>181</v>
      </c>
      <c r="X1" s="14" t="s">
        <v>126</v>
      </c>
    </row>
    <row r="2" spans="1:27" x14ac:dyDescent="0.2">
      <c r="A2" s="11">
        <v>25</v>
      </c>
      <c r="B2" s="11">
        <v>1</v>
      </c>
      <c r="C2" s="11">
        <v>1</v>
      </c>
      <c r="D2" s="14">
        <v>12</v>
      </c>
      <c r="E2" s="14">
        <v>5</v>
      </c>
      <c r="F2" s="14">
        <v>10</v>
      </c>
      <c r="G2" s="14">
        <v>3</v>
      </c>
      <c r="H2" s="14">
        <v>15</v>
      </c>
      <c r="I2" s="14">
        <v>6</v>
      </c>
      <c r="J2" s="48">
        <f>AVERAGE(D2*5,E2*5,F2*5,H2*5,I2*5,(100-(G2*5)))</f>
        <v>54.166666666666664</v>
      </c>
      <c r="K2" s="14">
        <v>4</v>
      </c>
      <c r="L2" s="14">
        <v>2</v>
      </c>
      <c r="M2" s="14">
        <v>4</v>
      </c>
      <c r="N2" s="14">
        <v>3</v>
      </c>
      <c r="O2" s="14">
        <v>4</v>
      </c>
      <c r="P2" s="14">
        <v>2</v>
      </c>
      <c r="Q2" s="14">
        <v>4</v>
      </c>
      <c r="R2" s="14">
        <v>2</v>
      </c>
      <c r="S2" s="14">
        <v>4</v>
      </c>
      <c r="T2" s="14">
        <v>3</v>
      </c>
      <c r="U2" s="48">
        <f>SUM(K2,M2,O2,Q2,S2)-5</f>
        <v>15</v>
      </c>
      <c r="V2" s="48">
        <f>25-SUM(L2,N2,P2,R2,T2)</f>
        <v>13</v>
      </c>
      <c r="W2" s="48">
        <f>(U2+V2)*2.5</f>
        <v>70</v>
      </c>
      <c r="X2" s="14">
        <v>6</v>
      </c>
    </row>
    <row r="3" spans="1:27" x14ac:dyDescent="0.2">
      <c r="C3" s="11">
        <v>2</v>
      </c>
      <c r="J3" s="48"/>
      <c r="U3" s="48"/>
      <c r="V3" s="48"/>
      <c r="W3" s="48"/>
    </row>
    <row r="4" spans="1:27" x14ac:dyDescent="0.2">
      <c r="A4" s="11">
        <v>26</v>
      </c>
      <c r="B4" s="11">
        <v>2</v>
      </c>
      <c r="C4" s="11">
        <v>1</v>
      </c>
      <c r="D4" s="14">
        <v>1</v>
      </c>
      <c r="E4" s="14">
        <v>1</v>
      </c>
      <c r="F4" s="14">
        <v>1</v>
      </c>
      <c r="G4" s="14">
        <v>10</v>
      </c>
      <c r="H4" s="14">
        <v>10</v>
      </c>
      <c r="I4" s="14">
        <v>18</v>
      </c>
      <c r="J4" s="48">
        <f t="shared" ref="J3:J19" si="0">AVERAGE(D4*5,E4*5,F4*5,H4*5,I4*5,(100-(G4*5)))</f>
        <v>34.166666666666664</v>
      </c>
      <c r="U4" s="48"/>
      <c r="V4" s="48"/>
      <c r="W4" s="48"/>
    </row>
    <row r="5" spans="1:27" x14ac:dyDescent="0.2">
      <c r="C5" s="11">
        <v>2</v>
      </c>
      <c r="D5" s="14">
        <v>1</v>
      </c>
      <c r="E5" s="14">
        <v>1</v>
      </c>
      <c r="F5" s="14">
        <v>1</v>
      </c>
      <c r="G5" s="14">
        <v>18</v>
      </c>
      <c r="H5" s="14">
        <v>9</v>
      </c>
      <c r="I5" s="14">
        <v>19</v>
      </c>
      <c r="J5" s="48">
        <f t="shared" si="0"/>
        <v>27.5</v>
      </c>
      <c r="U5" s="48"/>
      <c r="V5" s="48"/>
      <c r="W5" s="48"/>
    </row>
    <row r="6" spans="1:27" s="12" customFormat="1" x14ac:dyDescent="0.2">
      <c r="A6" s="12">
        <v>27</v>
      </c>
      <c r="B6" s="12">
        <v>3</v>
      </c>
      <c r="C6" s="12">
        <v>1</v>
      </c>
      <c r="D6" s="15">
        <v>16</v>
      </c>
      <c r="E6" s="15">
        <v>3</v>
      </c>
      <c r="F6" s="15">
        <v>18</v>
      </c>
      <c r="G6" s="15">
        <v>18</v>
      </c>
      <c r="H6" s="15">
        <v>17</v>
      </c>
      <c r="I6" s="15">
        <v>18</v>
      </c>
      <c r="J6" s="48">
        <f t="shared" si="0"/>
        <v>61.666666666666664</v>
      </c>
      <c r="K6" s="15">
        <v>4</v>
      </c>
      <c r="L6" s="15">
        <v>4</v>
      </c>
      <c r="M6" s="15">
        <v>3</v>
      </c>
      <c r="N6" s="15">
        <v>4</v>
      </c>
      <c r="O6" s="15">
        <v>4</v>
      </c>
      <c r="P6" s="15">
        <v>4</v>
      </c>
      <c r="Q6" s="15">
        <v>4</v>
      </c>
      <c r="R6" s="15">
        <v>4</v>
      </c>
      <c r="S6" s="15">
        <v>2</v>
      </c>
      <c r="T6" s="15">
        <v>4</v>
      </c>
      <c r="U6" s="48">
        <f t="shared" ref="U6:U19" si="1">SUM(K6,M6,O6,Q6,S6)-5</f>
        <v>12</v>
      </c>
      <c r="V6" s="48">
        <f t="shared" ref="V6:V19" si="2">25-SUM(L6,N6,P6,R6,T6)</f>
        <v>5</v>
      </c>
      <c r="W6" s="48">
        <f t="shared" ref="W6:W19" si="3">(U6+V6)*2.5</f>
        <v>42.5</v>
      </c>
      <c r="X6" s="15">
        <v>4</v>
      </c>
    </row>
    <row r="7" spans="1:27" s="12" customFormat="1" x14ac:dyDescent="0.2">
      <c r="C7" s="12">
        <v>2</v>
      </c>
      <c r="D7" s="15">
        <v>16</v>
      </c>
      <c r="E7" s="15">
        <v>3</v>
      </c>
      <c r="F7" s="15">
        <v>17</v>
      </c>
      <c r="G7" s="15">
        <v>16</v>
      </c>
      <c r="H7" s="15">
        <v>15</v>
      </c>
      <c r="I7" s="15">
        <v>18</v>
      </c>
      <c r="J7" s="48">
        <f t="shared" si="0"/>
        <v>60.833333333333336</v>
      </c>
      <c r="K7" s="15">
        <v>3</v>
      </c>
      <c r="L7" s="15">
        <v>3</v>
      </c>
      <c r="M7" s="15">
        <v>2</v>
      </c>
      <c r="N7" s="15">
        <v>4</v>
      </c>
      <c r="O7" s="15">
        <v>4</v>
      </c>
      <c r="P7" s="15">
        <v>2</v>
      </c>
      <c r="Q7" s="15">
        <v>3</v>
      </c>
      <c r="R7" s="15">
        <v>4</v>
      </c>
      <c r="S7" s="15">
        <v>2</v>
      </c>
      <c r="T7" s="15">
        <v>4</v>
      </c>
      <c r="U7" s="48">
        <f t="shared" si="1"/>
        <v>9</v>
      </c>
      <c r="V7" s="48">
        <f t="shared" si="2"/>
        <v>8</v>
      </c>
      <c r="W7" s="48">
        <f t="shared" si="3"/>
        <v>42.5</v>
      </c>
      <c r="X7" s="15">
        <v>4</v>
      </c>
      <c r="Z7" s="48">
        <f>AVERAGE(D21:F21,H21,I21,(100-G21))</f>
        <v>51.111111111111114</v>
      </c>
      <c r="AA7" s="48">
        <f>_xlfn.STDEV.P(D21:F21,H21,I21,(100-G21))</f>
        <v>16.826395098667483</v>
      </c>
    </row>
    <row r="8" spans="1:27" s="12" customFormat="1" x14ac:dyDescent="0.2">
      <c r="A8" s="12">
        <v>28</v>
      </c>
      <c r="B8" s="12">
        <v>4</v>
      </c>
      <c r="C8" s="12">
        <v>1</v>
      </c>
      <c r="D8" s="15">
        <v>8</v>
      </c>
      <c r="E8" s="15">
        <v>3</v>
      </c>
      <c r="F8" s="15">
        <v>15</v>
      </c>
      <c r="G8" s="15">
        <v>4</v>
      </c>
      <c r="H8" s="15">
        <v>10</v>
      </c>
      <c r="I8" s="15">
        <v>12</v>
      </c>
      <c r="J8" s="48">
        <f t="shared" si="0"/>
        <v>53.333333333333336</v>
      </c>
      <c r="K8" s="15">
        <v>4</v>
      </c>
      <c r="L8" s="15">
        <v>1</v>
      </c>
      <c r="M8" s="15">
        <v>5</v>
      </c>
      <c r="N8" s="15">
        <v>1</v>
      </c>
      <c r="O8" s="15">
        <v>4</v>
      </c>
      <c r="P8" s="15">
        <v>3</v>
      </c>
      <c r="Q8" s="15">
        <v>4</v>
      </c>
      <c r="R8" s="15">
        <v>1</v>
      </c>
      <c r="S8" s="15">
        <v>5</v>
      </c>
      <c r="T8" s="15">
        <v>1</v>
      </c>
      <c r="U8" s="48">
        <f t="shared" si="1"/>
        <v>17</v>
      </c>
      <c r="V8" s="48">
        <f t="shared" si="2"/>
        <v>18</v>
      </c>
      <c r="W8" s="48">
        <f t="shared" si="3"/>
        <v>87.5</v>
      </c>
      <c r="X8" s="15">
        <v>6</v>
      </c>
      <c r="Z8" s="48">
        <f>AVERAGE(D22:F22,H22,I22,(100-G22))</f>
        <v>48.333333333333336</v>
      </c>
      <c r="AA8" s="48">
        <f>_xlfn.STDEV.P(D22:F22,H22,I22,(100-G22))</f>
        <v>17.368054167221946</v>
      </c>
    </row>
    <row r="9" spans="1:27" s="12" customFormat="1" x14ac:dyDescent="0.2">
      <c r="C9" s="12">
        <v>2</v>
      </c>
      <c r="D9" s="15">
        <v>10</v>
      </c>
      <c r="E9" s="15">
        <v>5</v>
      </c>
      <c r="F9" s="15">
        <v>15</v>
      </c>
      <c r="G9" s="15">
        <v>2</v>
      </c>
      <c r="H9" s="15">
        <v>10</v>
      </c>
      <c r="I9" s="15">
        <v>12</v>
      </c>
      <c r="J9" s="48">
        <f t="shared" si="0"/>
        <v>58.333333333333336</v>
      </c>
      <c r="K9" s="15">
        <v>5</v>
      </c>
      <c r="L9" s="15">
        <v>1</v>
      </c>
      <c r="M9" s="15">
        <v>5</v>
      </c>
      <c r="N9" s="15">
        <v>1</v>
      </c>
      <c r="O9" s="15">
        <v>4</v>
      </c>
      <c r="P9" s="15">
        <v>3</v>
      </c>
      <c r="Q9" s="15">
        <v>5</v>
      </c>
      <c r="R9" s="15">
        <v>1</v>
      </c>
      <c r="S9" s="15">
        <v>5</v>
      </c>
      <c r="T9" s="15">
        <v>1</v>
      </c>
      <c r="U9" s="48">
        <f t="shared" si="1"/>
        <v>19</v>
      </c>
      <c r="V9" s="48">
        <f t="shared" si="2"/>
        <v>18</v>
      </c>
      <c r="W9" s="48">
        <f t="shared" si="3"/>
        <v>92.5</v>
      </c>
      <c r="X9" s="15">
        <v>6</v>
      </c>
      <c r="Z9" s="17">
        <f>(Z8-Z7)/Z7</f>
        <v>-5.4347826086956534E-2</v>
      </c>
      <c r="AA9" s="11"/>
    </row>
    <row r="10" spans="1:27" s="12" customFormat="1" x14ac:dyDescent="0.2">
      <c r="A10" s="12">
        <v>29</v>
      </c>
      <c r="B10" s="12">
        <v>5</v>
      </c>
      <c r="C10" s="12">
        <v>1</v>
      </c>
      <c r="D10" s="15">
        <v>12</v>
      </c>
      <c r="E10" s="15">
        <v>4</v>
      </c>
      <c r="F10" s="15">
        <v>12</v>
      </c>
      <c r="G10" s="15">
        <v>13</v>
      </c>
      <c r="H10" s="15">
        <v>13</v>
      </c>
      <c r="I10" s="15">
        <v>11</v>
      </c>
      <c r="J10" s="48">
        <f t="shared" si="0"/>
        <v>49.166666666666664</v>
      </c>
      <c r="K10" s="15">
        <v>5</v>
      </c>
      <c r="L10" s="15">
        <v>3</v>
      </c>
      <c r="M10" s="15">
        <v>3</v>
      </c>
      <c r="N10" s="15">
        <v>4</v>
      </c>
      <c r="O10" s="15">
        <v>3</v>
      </c>
      <c r="P10" s="15">
        <v>3</v>
      </c>
      <c r="Q10" s="15">
        <v>3</v>
      </c>
      <c r="R10" s="15">
        <v>3</v>
      </c>
      <c r="S10" s="15">
        <v>2</v>
      </c>
      <c r="T10" s="15">
        <v>3</v>
      </c>
      <c r="U10" s="48">
        <f t="shared" si="1"/>
        <v>11</v>
      </c>
      <c r="V10" s="48">
        <f t="shared" si="2"/>
        <v>9</v>
      </c>
      <c r="W10" s="48">
        <f t="shared" si="3"/>
        <v>50</v>
      </c>
      <c r="X10" s="15">
        <v>6</v>
      </c>
      <c r="Z10" s="48">
        <f>AVERAGE(D24:F24,H24,I24,(100-G24))</f>
        <v>49.722222222222229</v>
      </c>
      <c r="AA10" s="48">
        <f>_xlfn.STDEV.P(D24:F24,H24,I24,(100-G24))</f>
        <v>16.678357203952473</v>
      </c>
    </row>
    <row r="11" spans="1:27" s="12" customFormat="1" x14ac:dyDescent="0.2">
      <c r="C11" s="12">
        <v>2</v>
      </c>
      <c r="D11" s="15">
        <v>7</v>
      </c>
      <c r="E11" s="15">
        <v>3</v>
      </c>
      <c r="F11" s="15">
        <v>6</v>
      </c>
      <c r="G11" s="15">
        <v>15</v>
      </c>
      <c r="H11" s="15">
        <v>7</v>
      </c>
      <c r="I11" s="15">
        <v>7</v>
      </c>
      <c r="J11" s="48">
        <f t="shared" si="0"/>
        <v>29.166666666666668</v>
      </c>
      <c r="K11" s="15">
        <v>5</v>
      </c>
      <c r="L11" s="15">
        <v>2</v>
      </c>
      <c r="M11" s="15">
        <v>4</v>
      </c>
      <c r="N11" s="15">
        <v>2</v>
      </c>
      <c r="O11" s="15">
        <v>4</v>
      </c>
      <c r="P11" s="15">
        <v>2</v>
      </c>
      <c r="Q11" s="15">
        <v>3</v>
      </c>
      <c r="R11" s="15">
        <v>2</v>
      </c>
      <c r="S11" s="15">
        <v>3</v>
      </c>
      <c r="T11" s="15">
        <v>1</v>
      </c>
      <c r="U11" s="48">
        <f t="shared" si="1"/>
        <v>14</v>
      </c>
      <c r="V11" s="48">
        <f t="shared" si="2"/>
        <v>16</v>
      </c>
      <c r="W11" s="48">
        <f t="shared" si="3"/>
        <v>75</v>
      </c>
      <c r="X11" s="15">
        <v>6</v>
      </c>
    </row>
    <row r="12" spans="1:27" x14ac:dyDescent="0.2">
      <c r="A12" s="11">
        <v>30</v>
      </c>
      <c r="B12" s="11">
        <v>6</v>
      </c>
      <c r="C12" s="12">
        <v>1</v>
      </c>
      <c r="D12" s="14">
        <v>16</v>
      </c>
      <c r="E12" s="14">
        <v>4</v>
      </c>
      <c r="F12" s="14">
        <v>18</v>
      </c>
      <c r="G12" s="14">
        <v>15</v>
      </c>
      <c r="H12" s="14">
        <v>15</v>
      </c>
      <c r="I12" s="14">
        <v>13</v>
      </c>
      <c r="J12" s="48">
        <f t="shared" si="0"/>
        <v>59.166666666666664</v>
      </c>
      <c r="K12" s="14">
        <v>4</v>
      </c>
      <c r="L12" s="14">
        <v>3</v>
      </c>
      <c r="M12" s="14">
        <v>3</v>
      </c>
      <c r="N12" s="14">
        <v>3</v>
      </c>
      <c r="O12" s="14">
        <v>4</v>
      </c>
      <c r="P12" s="14">
        <v>2</v>
      </c>
      <c r="Q12" s="14">
        <v>4</v>
      </c>
      <c r="R12" s="14">
        <v>1</v>
      </c>
      <c r="S12" s="14">
        <v>3</v>
      </c>
      <c r="T12" s="14">
        <v>2</v>
      </c>
      <c r="U12" s="48">
        <f t="shared" si="1"/>
        <v>13</v>
      </c>
      <c r="V12" s="48">
        <f t="shared" si="2"/>
        <v>14</v>
      </c>
      <c r="W12" s="48">
        <f t="shared" si="3"/>
        <v>67.5</v>
      </c>
      <c r="X12" s="14">
        <v>6</v>
      </c>
    </row>
    <row r="13" spans="1:27" x14ac:dyDescent="0.2">
      <c r="C13" s="12">
        <v>2</v>
      </c>
      <c r="D13" s="14">
        <v>15</v>
      </c>
      <c r="E13" s="14">
        <v>4</v>
      </c>
      <c r="F13" s="14">
        <v>18</v>
      </c>
      <c r="G13" s="14">
        <v>12</v>
      </c>
      <c r="H13" s="14">
        <v>14</v>
      </c>
      <c r="I13" s="14">
        <v>9</v>
      </c>
      <c r="J13" s="48">
        <f t="shared" si="0"/>
        <v>56.666666666666664</v>
      </c>
      <c r="K13" s="14">
        <v>4</v>
      </c>
      <c r="L13" s="14">
        <v>2</v>
      </c>
      <c r="M13" s="14">
        <v>3</v>
      </c>
      <c r="N13" s="14">
        <v>3</v>
      </c>
      <c r="O13" s="14">
        <v>4</v>
      </c>
      <c r="P13" s="14">
        <v>2</v>
      </c>
      <c r="Q13" s="14">
        <v>4</v>
      </c>
      <c r="R13" s="14">
        <v>1</v>
      </c>
      <c r="S13" s="14">
        <v>3</v>
      </c>
      <c r="T13" s="14">
        <v>2</v>
      </c>
      <c r="U13" s="48">
        <f t="shared" si="1"/>
        <v>13</v>
      </c>
      <c r="V13" s="48">
        <f t="shared" si="2"/>
        <v>15</v>
      </c>
      <c r="W13" s="48">
        <f t="shared" si="3"/>
        <v>70</v>
      </c>
      <c r="X13" s="14">
        <v>6</v>
      </c>
    </row>
    <row r="14" spans="1:27" x14ac:dyDescent="0.2">
      <c r="A14" s="11">
        <v>31</v>
      </c>
      <c r="B14" s="11">
        <v>7</v>
      </c>
      <c r="C14" s="12">
        <v>1</v>
      </c>
      <c r="D14" s="14">
        <v>15</v>
      </c>
      <c r="E14" s="14">
        <v>1</v>
      </c>
      <c r="F14" s="14">
        <v>10</v>
      </c>
      <c r="G14" s="14">
        <v>6</v>
      </c>
      <c r="H14" s="14">
        <v>10</v>
      </c>
      <c r="I14" s="14">
        <v>1</v>
      </c>
      <c r="J14" s="48">
        <f t="shared" si="0"/>
        <v>42.5</v>
      </c>
      <c r="K14" s="14">
        <v>4</v>
      </c>
      <c r="L14" s="14">
        <v>1</v>
      </c>
      <c r="M14" s="14">
        <v>5</v>
      </c>
      <c r="N14" s="14">
        <v>3</v>
      </c>
      <c r="O14" s="14">
        <v>4</v>
      </c>
      <c r="P14" s="14">
        <v>3</v>
      </c>
      <c r="Q14" s="14">
        <v>5</v>
      </c>
      <c r="R14" s="14">
        <v>1</v>
      </c>
      <c r="S14" s="14">
        <v>5</v>
      </c>
      <c r="T14" s="14">
        <v>1</v>
      </c>
      <c r="U14" s="48">
        <f t="shared" si="1"/>
        <v>18</v>
      </c>
      <c r="V14" s="48">
        <f t="shared" si="2"/>
        <v>16</v>
      </c>
      <c r="W14" s="48">
        <f t="shared" si="3"/>
        <v>85</v>
      </c>
      <c r="X14" s="14">
        <v>6</v>
      </c>
    </row>
    <row r="15" spans="1:27" x14ac:dyDescent="0.2">
      <c r="C15" s="12">
        <v>2</v>
      </c>
      <c r="D15" s="14">
        <v>16</v>
      </c>
      <c r="E15" s="14">
        <v>1</v>
      </c>
      <c r="F15" s="14">
        <v>11</v>
      </c>
      <c r="G15" s="14">
        <v>11</v>
      </c>
      <c r="H15" s="14">
        <v>11</v>
      </c>
      <c r="I15" s="14">
        <v>1</v>
      </c>
      <c r="J15" s="48">
        <f t="shared" si="0"/>
        <v>40.833333333333336</v>
      </c>
      <c r="K15" s="14">
        <v>4</v>
      </c>
      <c r="L15" s="14">
        <v>1</v>
      </c>
      <c r="M15" s="14">
        <v>5</v>
      </c>
      <c r="N15" s="14">
        <v>3</v>
      </c>
      <c r="O15" s="14">
        <v>3</v>
      </c>
      <c r="P15" s="14">
        <v>3</v>
      </c>
      <c r="Q15" s="14">
        <v>5</v>
      </c>
      <c r="R15" s="14">
        <v>1</v>
      </c>
      <c r="S15" s="14">
        <v>5</v>
      </c>
      <c r="T15" s="14">
        <v>1</v>
      </c>
      <c r="U15" s="48">
        <f t="shared" si="1"/>
        <v>17</v>
      </c>
      <c r="V15" s="48">
        <f t="shared" si="2"/>
        <v>16</v>
      </c>
      <c r="W15" s="48">
        <f t="shared" si="3"/>
        <v>82.5</v>
      </c>
      <c r="X15" s="14">
        <v>6</v>
      </c>
    </row>
    <row r="16" spans="1:27" x14ac:dyDescent="0.2">
      <c r="A16" s="11">
        <v>32</v>
      </c>
      <c r="B16" s="11">
        <v>8</v>
      </c>
      <c r="C16" s="12">
        <v>1</v>
      </c>
      <c r="D16" s="14">
        <v>10</v>
      </c>
      <c r="E16" s="14">
        <v>1</v>
      </c>
      <c r="F16" s="14">
        <v>5</v>
      </c>
      <c r="G16" s="14">
        <v>4</v>
      </c>
      <c r="H16" s="14">
        <v>10</v>
      </c>
      <c r="I16" s="14">
        <v>12</v>
      </c>
      <c r="J16" s="48">
        <f t="shared" si="0"/>
        <v>45</v>
      </c>
      <c r="K16" s="14">
        <v>5</v>
      </c>
      <c r="L16" s="14">
        <v>2</v>
      </c>
      <c r="M16" s="14">
        <v>4</v>
      </c>
      <c r="N16" s="14">
        <v>4</v>
      </c>
      <c r="O16" s="14">
        <v>4</v>
      </c>
      <c r="P16" s="14">
        <v>3</v>
      </c>
      <c r="Q16" s="14">
        <v>4</v>
      </c>
      <c r="R16" s="14">
        <v>3</v>
      </c>
      <c r="S16" s="14">
        <v>3</v>
      </c>
      <c r="T16" s="14">
        <v>3</v>
      </c>
      <c r="U16" s="48">
        <f t="shared" si="1"/>
        <v>15</v>
      </c>
      <c r="V16" s="48">
        <f t="shared" si="2"/>
        <v>10</v>
      </c>
      <c r="W16" s="48">
        <f t="shared" si="3"/>
        <v>62.5</v>
      </c>
      <c r="X16" s="14">
        <v>5</v>
      </c>
    </row>
    <row r="17" spans="1:29" x14ac:dyDescent="0.2">
      <c r="C17" s="12">
        <v>2</v>
      </c>
      <c r="D17" s="14">
        <v>15</v>
      </c>
      <c r="E17" s="14">
        <v>2</v>
      </c>
      <c r="F17" s="14">
        <v>17</v>
      </c>
      <c r="G17" s="14">
        <v>18</v>
      </c>
      <c r="H17" s="14">
        <v>14</v>
      </c>
      <c r="I17" s="14">
        <v>15</v>
      </c>
      <c r="J17" s="48">
        <f t="shared" si="0"/>
        <v>54.166666666666664</v>
      </c>
      <c r="K17" s="14">
        <v>5</v>
      </c>
      <c r="L17" s="14">
        <v>3</v>
      </c>
      <c r="M17" s="14">
        <v>4</v>
      </c>
      <c r="N17" s="14">
        <v>4</v>
      </c>
      <c r="O17" s="14">
        <v>3</v>
      </c>
      <c r="P17" s="14">
        <v>3</v>
      </c>
      <c r="Q17" s="14">
        <v>4</v>
      </c>
      <c r="R17" s="14">
        <v>3</v>
      </c>
      <c r="S17" s="14">
        <v>3</v>
      </c>
      <c r="T17" s="14">
        <v>3</v>
      </c>
      <c r="U17" s="48">
        <f t="shared" si="1"/>
        <v>14</v>
      </c>
      <c r="V17" s="48">
        <f t="shared" si="2"/>
        <v>9</v>
      </c>
      <c r="W17" s="48">
        <f t="shared" si="3"/>
        <v>57.5</v>
      </c>
      <c r="X17" s="14">
        <v>5</v>
      </c>
    </row>
    <row r="18" spans="1:29" x14ac:dyDescent="0.2">
      <c r="A18" s="11">
        <v>33</v>
      </c>
      <c r="B18" s="11">
        <v>9</v>
      </c>
      <c r="C18" s="12">
        <v>1</v>
      </c>
      <c r="D18" s="14">
        <v>13</v>
      </c>
      <c r="E18" s="14">
        <v>3</v>
      </c>
      <c r="F18" s="14">
        <v>14</v>
      </c>
      <c r="G18" s="14">
        <v>5</v>
      </c>
      <c r="H18" s="14">
        <v>15</v>
      </c>
      <c r="I18" s="14">
        <v>13</v>
      </c>
      <c r="J18" s="48">
        <f t="shared" si="0"/>
        <v>60.833333333333336</v>
      </c>
      <c r="K18" s="14">
        <v>5</v>
      </c>
      <c r="L18" s="14">
        <v>2</v>
      </c>
      <c r="M18" s="14">
        <v>4</v>
      </c>
      <c r="N18" s="14">
        <v>3</v>
      </c>
      <c r="O18" s="14">
        <v>4</v>
      </c>
      <c r="P18" s="14">
        <v>2</v>
      </c>
      <c r="Q18" s="14">
        <v>3</v>
      </c>
      <c r="R18" s="14">
        <v>2</v>
      </c>
      <c r="S18" s="14">
        <v>4</v>
      </c>
      <c r="T18" s="14">
        <v>1</v>
      </c>
      <c r="U18" s="48">
        <f t="shared" si="1"/>
        <v>15</v>
      </c>
      <c r="V18" s="48">
        <f t="shared" si="2"/>
        <v>15</v>
      </c>
      <c r="W18" s="48">
        <f t="shared" si="3"/>
        <v>75</v>
      </c>
      <c r="X18" s="14">
        <v>6</v>
      </c>
    </row>
    <row r="19" spans="1:29" x14ac:dyDescent="0.2">
      <c r="C19" s="12">
        <v>2</v>
      </c>
      <c r="D19" s="14">
        <v>13</v>
      </c>
      <c r="E19" s="14">
        <v>3</v>
      </c>
      <c r="F19" s="14">
        <v>14</v>
      </c>
      <c r="G19" s="14">
        <v>7</v>
      </c>
      <c r="H19" s="14">
        <v>15</v>
      </c>
      <c r="I19" s="14">
        <v>13</v>
      </c>
      <c r="J19" s="48">
        <f t="shared" si="0"/>
        <v>59.166666666666664</v>
      </c>
      <c r="K19" s="14">
        <v>5</v>
      </c>
      <c r="L19" s="14">
        <v>2</v>
      </c>
      <c r="M19" s="14">
        <v>4</v>
      </c>
      <c r="N19" s="14">
        <v>3</v>
      </c>
      <c r="O19" s="14">
        <v>4</v>
      </c>
      <c r="P19" s="14">
        <v>2</v>
      </c>
      <c r="Q19" s="14">
        <v>3</v>
      </c>
      <c r="R19" s="14">
        <v>2</v>
      </c>
      <c r="S19" s="14">
        <v>4</v>
      </c>
      <c r="T19" s="14">
        <v>1</v>
      </c>
      <c r="U19" s="48">
        <f t="shared" si="1"/>
        <v>15</v>
      </c>
      <c r="V19" s="48">
        <f t="shared" si="2"/>
        <v>15</v>
      </c>
      <c r="W19" s="48">
        <f t="shared" si="3"/>
        <v>75</v>
      </c>
      <c r="X19" s="14">
        <v>6</v>
      </c>
    </row>
    <row r="20" spans="1:29" x14ac:dyDescent="0.2">
      <c r="A20" s="13" t="s">
        <v>43</v>
      </c>
      <c r="B20" s="13"/>
      <c r="C20" s="13"/>
      <c r="W20" s="16"/>
    </row>
    <row r="21" spans="1:29" x14ac:dyDescent="0.2">
      <c r="D21" s="16">
        <f>AVERAGE(D2,D4,D6,D8,D10,D12,D14,D16,D18)*5</f>
        <v>57.222222222222221</v>
      </c>
      <c r="E21" s="16">
        <f t="shared" ref="E21:J21" si="4">AVERAGE(E2,E4,E6,E8,E10,E12,E14,E16,E18)*5</f>
        <v>13.888888888888889</v>
      </c>
      <c r="F21" s="16">
        <f t="shared" si="4"/>
        <v>57.222222222222221</v>
      </c>
      <c r="G21" s="16">
        <f t="shared" si="4"/>
        <v>43.333333333333329</v>
      </c>
      <c r="H21" s="16">
        <f t="shared" si="4"/>
        <v>63.888888888888893</v>
      </c>
      <c r="I21" s="16">
        <f t="shared" si="4"/>
        <v>57.777777777777779</v>
      </c>
      <c r="J21" s="16">
        <f>AVERAGE(J2,J4,J6,J8,J10,J12,J14,J16,J18)</f>
        <v>51.111111111111114</v>
      </c>
      <c r="K21" s="16">
        <f t="shared" ref="K21:X21" si="5">AVERAGE(K2,K4,K6,K8,K10,K12,K14,K16,K18)</f>
        <v>4.375</v>
      </c>
      <c r="L21" s="16">
        <f t="shared" si="5"/>
        <v>2.25</v>
      </c>
      <c r="M21" s="16">
        <f t="shared" si="5"/>
        <v>3.875</v>
      </c>
      <c r="N21" s="16">
        <f t="shared" si="5"/>
        <v>3.125</v>
      </c>
      <c r="O21" s="16">
        <f t="shared" si="5"/>
        <v>3.875</v>
      </c>
      <c r="P21" s="16">
        <f t="shared" si="5"/>
        <v>2.75</v>
      </c>
      <c r="Q21" s="16">
        <f t="shared" si="5"/>
        <v>3.875</v>
      </c>
      <c r="R21" s="16">
        <f t="shared" si="5"/>
        <v>2.125</v>
      </c>
      <c r="S21" s="16">
        <f t="shared" si="5"/>
        <v>3.5</v>
      </c>
      <c r="T21" s="16">
        <f t="shared" si="5"/>
        <v>2.25</v>
      </c>
      <c r="U21" s="16"/>
      <c r="V21" s="16">
        <f>W21*0.05</f>
        <v>3.375</v>
      </c>
      <c r="W21" s="16">
        <f>AVERAGE(W2,W4,W6,W8,W10,W12,W14,W16,W18)</f>
        <v>67.5</v>
      </c>
      <c r="X21" s="16">
        <f t="shared" si="5"/>
        <v>5.625</v>
      </c>
      <c r="Y21" s="11">
        <f>_xlfn.QUARTILE.INC(W2:W19,1)</f>
        <v>60</v>
      </c>
    </row>
    <row r="22" spans="1:29" x14ac:dyDescent="0.2">
      <c r="D22" s="16">
        <f>AVERAGE(D3,D5,D7,D9,D11,D13,D15,D17,D19)*5</f>
        <v>58.125</v>
      </c>
      <c r="E22" s="16">
        <f t="shared" ref="E22:I22" si="6">AVERAGE(E3,E5,E7,E9,E11,E13,E15,E17,E19)*5</f>
        <v>13.75</v>
      </c>
      <c r="F22" s="16">
        <f t="shared" si="6"/>
        <v>61.875</v>
      </c>
      <c r="G22" s="16">
        <f t="shared" si="6"/>
        <v>61.875</v>
      </c>
      <c r="H22" s="16">
        <f t="shared" si="6"/>
        <v>59.375</v>
      </c>
      <c r="I22" s="16">
        <f t="shared" si="6"/>
        <v>58.75</v>
      </c>
      <c r="J22" s="16">
        <f>AVERAGE(J3,J5,J7,J9,J11,J13,J15,J17,J19)</f>
        <v>48.333333333333336</v>
      </c>
      <c r="K22" s="16">
        <f t="shared" ref="K22:X22" si="7">AVERAGE(K3,K5,K7,K9,K11,K13,K15,K17,K19)</f>
        <v>4.4285714285714288</v>
      </c>
      <c r="L22" s="16">
        <f t="shared" si="7"/>
        <v>2</v>
      </c>
      <c r="M22" s="16">
        <f t="shared" si="7"/>
        <v>3.8571428571428572</v>
      </c>
      <c r="N22" s="16">
        <f t="shared" si="7"/>
        <v>2.8571428571428572</v>
      </c>
      <c r="O22" s="16">
        <f t="shared" si="7"/>
        <v>3.7142857142857144</v>
      </c>
      <c r="P22" s="16">
        <f t="shared" si="7"/>
        <v>2.4285714285714284</v>
      </c>
      <c r="Q22" s="16">
        <f t="shared" si="7"/>
        <v>3.8571428571428572</v>
      </c>
      <c r="R22" s="16">
        <f t="shared" si="7"/>
        <v>2</v>
      </c>
      <c r="S22" s="16">
        <f t="shared" si="7"/>
        <v>3.5714285714285716</v>
      </c>
      <c r="T22" s="16">
        <f t="shared" si="7"/>
        <v>1.8571428571428572</v>
      </c>
      <c r="U22" s="16"/>
      <c r="V22" s="16"/>
      <c r="W22" s="16">
        <f>AVERAGE(W3,W5,W7,W9,W11,W13,W15,W17,W19)</f>
        <v>70.714285714285708</v>
      </c>
      <c r="X22" s="16">
        <f t="shared" si="7"/>
        <v>5.5714285714285712</v>
      </c>
      <c r="Y22" s="11">
        <f>_xlfn.QUARTILE.INC(W2:W19,3)</f>
        <v>78.75</v>
      </c>
    </row>
    <row r="23" spans="1:29" x14ac:dyDescent="0.2">
      <c r="D23" s="17">
        <f>(D22-D21)/D21</f>
        <v>1.5776699029126227E-2</v>
      </c>
      <c r="E23" s="17">
        <f t="shared" ref="E23:T23" si="8">(E22-E21)/E21</f>
        <v>-1.0000000000000028E-2</v>
      </c>
      <c r="F23" s="17">
        <f t="shared" si="8"/>
        <v>8.1310679611650505E-2</v>
      </c>
      <c r="G23" s="17">
        <f t="shared" si="8"/>
        <v>0.42788461538461553</v>
      </c>
      <c r="H23" s="17">
        <f t="shared" si="8"/>
        <v>-7.0652173913043542E-2</v>
      </c>
      <c r="I23" s="17">
        <f t="shared" si="8"/>
        <v>1.6826923076923062E-2</v>
      </c>
      <c r="J23" s="17">
        <f t="shared" ref="J23" si="9">(J22-J21)/J21</f>
        <v>-5.4347826086956534E-2</v>
      </c>
      <c r="K23" s="17">
        <f t="shared" si="8"/>
        <v>1.2244897959183732E-2</v>
      </c>
      <c r="L23" s="17">
        <f t="shared" si="8"/>
        <v>-0.1111111111111111</v>
      </c>
      <c r="M23" s="51">
        <f t="shared" si="8"/>
        <v>-4.6082949308755596E-3</v>
      </c>
      <c r="N23" s="17">
        <f t="shared" si="8"/>
        <v>-8.5714285714285687E-2</v>
      </c>
      <c r="O23" s="17">
        <f t="shared" si="8"/>
        <v>-4.147465437788015E-2</v>
      </c>
      <c r="P23" s="17">
        <f t="shared" si="8"/>
        <v>-0.11688311688311695</v>
      </c>
      <c r="Q23" s="51">
        <f t="shared" si="8"/>
        <v>-4.6082949308755596E-3</v>
      </c>
      <c r="R23" s="17">
        <f t="shared" si="8"/>
        <v>-5.8823529411764705E-2</v>
      </c>
      <c r="S23" s="17">
        <f t="shared" si="8"/>
        <v>2.0408163265306176E-2</v>
      </c>
      <c r="T23" s="17">
        <f t="shared" si="8"/>
        <v>-0.17460317460317457</v>
      </c>
      <c r="U23" s="17"/>
      <c r="V23" s="17"/>
      <c r="W23" s="17">
        <f t="shared" ref="W23" si="10">(W22-W21)/W21</f>
        <v>4.7619047619047526E-2</v>
      </c>
      <c r="X23" s="17">
        <f>(X22-X21)/X21</f>
        <v>-9.5238095238095698E-3</v>
      </c>
      <c r="Y23" s="11">
        <f>Y22-Y21</f>
        <v>18.75</v>
      </c>
    </row>
    <row r="24" spans="1:29" x14ac:dyDescent="0.2">
      <c r="D24" s="16">
        <f>AVERAGE(D21:D22)</f>
        <v>57.673611111111114</v>
      </c>
      <c r="E24" s="16">
        <f>AVERAGE(E21:E22)</f>
        <v>13.819444444444445</v>
      </c>
      <c r="F24" s="16">
        <f t="shared" ref="F24:X24" si="11">AVERAGE(F21:F22)</f>
        <v>59.548611111111114</v>
      </c>
      <c r="G24" s="16">
        <f t="shared" si="11"/>
        <v>52.604166666666664</v>
      </c>
      <c r="H24" s="16">
        <f t="shared" si="11"/>
        <v>61.631944444444443</v>
      </c>
      <c r="I24" s="16">
        <f t="shared" si="11"/>
        <v>58.263888888888886</v>
      </c>
      <c r="J24" s="16">
        <f t="shared" ref="J24" si="12">AVERAGE(J21:J22)</f>
        <v>49.722222222222229</v>
      </c>
      <c r="K24" s="16">
        <f t="shared" si="11"/>
        <v>4.4017857142857144</v>
      </c>
      <c r="L24" s="16">
        <f t="shared" si="11"/>
        <v>2.125</v>
      </c>
      <c r="M24" s="16">
        <f t="shared" si="11"/>
        <v>3.8660714285714288</v>
      </c>
      <c r="N24" s="16">
        <f t="shared" si="11"/>
        <v>2.9910714285714288</v>
      </c>
      <c r="O24" s="16">
        <f t="shared" si="11"/>
        <v>3.7946428571428572</v>
      </c>
      <c r="P24" s="16">
        <f t="shared" si="11"/>
        <v>2.5892857142857144</v>
      </c>
      <c r="Q24" s="16">
        <f t="shared" si="11"/>
        <v>3.8660714285714288</v>
      </c>
      <c r="R24" s="16">
        <f t="shared" si="11"/>
        <v>2.0625</v>
      </c>
      <c r="S24" s="16">
        <f t="shared" si="11"/>
        <v>3.5357142857142856</v>
      </c>
      <c r="T24" s="16">
        <f t="shared" si="11"/>
        <v>2.0535714285714288</v>
      </c>
      <c r="U24" s="16"/>
      <c r="V24" s="16"/>
      <c r="W24" s="16">
        <f>AVERAGE(W21:W22)</f>
        <v>69.107142857142861</v>
      </c>
      <c r="X24" s="16">
        <f t="shared" si="11"/>
        <v>5.5982142857142856</v>
      </c>
    </row>
    <row r="25" spans="1:29" x14ac:dyDescent="0.2">
      <c r="D25" s="18"/>
      <c r="E25" s="18"/>
      <c r="F25" s="18"/>
      <c r="G25" s="18"/>
      <c r="H25" s="18"/>
      <c r="I25" s="18"/>
      <c r="J25" s="18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8"/>
      <c r="Y25" s="49"/>
      <c r="Z25" s="11" t="s">
        <v>178</v>
      </c>
      <c r="AA25" s="11" t="s">
        <v>179</v>
      </c>
      <c r="AB25" s="11" t="s">
        <v>180</v>
      </c>
    </row>
    <row r="26" spans="1:29" x14ac:dyDescent="0.2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Z26" s="48">
        <f>SUM(K21,M21,O21,Q21,S21)-5</f>
        <v>14.5</v>
      </c>
      <c r="AA26" s="48">
        <f>SUM(K22,M22,O22,Q22,S22)-5</f>
        <v>14.428571428571431</v>
      </c>
      <c r="AB26" s="48">
        <f>SUM(K24,M24,O24,Q24,S24)-5</f>
        <v>14.464285714285715</v>
      </c>
    </row>
    <row r="27" spans="1:29" x14ac:dyDescent="0.2">
      <c r="C27" s="11" t="s">
        <v>69</v>
      </c>
      <c r="D27" s="16">
        <f t="shared" ref="D27:I28" si="13">_xlfn.STDEV.P(D2,D4,D6,D8,D10,D12,D14,D16,D18)*5</f>
        <v>22.374478406224743</v>
      </c>
      <c r="E27" s="16">
        <f t="shared" si="13"/>
        <v>6.9832250499869639</v>
      </c>
      <c r="F27" s="16">
        <f t="shared" si="13"/>
        <v>26.885674739028577</v>
      </c>
      <c r="G27" s="16">
        <f t="shared" si="13"/>
        <v>26.034165586355513</v>
      </c>
      <c r="H27" s="16">
        <f t="shared" si="13"/>
        <v>13.286956381223776</v>
      </c>
      <c r="I27" s="16">
        <f t="shared" si="13"/>
        <v>25.288459281646759</v>
      </c>
      <c r="J27" s="16">
        <f>_xlfn.STDEV.P(J2,J4,J6,J8,J10,J12,J14,J16,J18)</f>
        <v>8.7400737347512845</v>
      </c>
      <c r="K27" s="16">
        <f t="shared" ref="K27:X27" si="14">_xlfn.STDEV.P(K2,K4,K6,K8,K10,K12,K14,K16,K18)</f>
        <v>0.48412291827592713</v>
      </c>
      <c r="L27" s="16">
        <f t="shared" si="14"/>
        <v>0.96824583655185426</v>
      </c>
      <c r="M27" s="16">
        <f t="shared" si="14"/>
        <v>0.78062474979979979</v>
      </c>
      <c r="N27" s="16">
        <f t="shared" si="14"/>
        <v>0.92702481088695787</v>
      </c>
      <c r="O27" s="16">
        <f t="shared" si="14"/>
        <v>0.33071891388307384</v>
      </c>
      <c r="P27" s="16">
        <f t="shared" si="14"/>
        <v>0.66143782776614768</v>
      </c>
      <c r="Q27" s="16">
        <f t="shared" si="14"/>
        <v>0.59947894041408989</v>
      </c>
      <c r="R27" s="16">
        <f t="shared" si="14"/>
        <v>1.0532687216470449</v>
      </c>
      <c r="S27" s="16">
        <f t="shared" si="14"/>
        <v>1.1180339887498949</v>
      </c>
      <c r="T27" s="16">
        <f t="shared" si="14"/>
        <v>1.0897247358851685</v>
      </c>
      <c r="U27" s="16"/>
      <c r="V27" s="16"/>
      <c r="W27" s="16">
        <f>_xlfn.STDEV.P(W2,W4,W6,W8,W10,W12,W14,W16,W18)</f>
        <v>14.684175155588413</v>
      </c>
      <c r="X27" s="16">
        <f t="shared" si="14"/>
        <v>0.69597054535375269</v>
      </c>
      <c r="Z27" s="48">
        <f>25-SUM(L21,N21,P21,R21,T21)</f>
        <v>12.5</v>
      </c>
      <c r="AA27" s="48">
        <f>25-SUM(L22,N22,P22,R22,T22)</f>
        <v>13.857142857142856</v>
      </c>
      <c r="AB27" s="48">
        <f>25-SUM(L24,N24,P24,R24,T24)</f>
        <v>13.178571428571429</v>
      </c>
    </row>
    <row r="28" spans="1:29" x14ac:dyDescent="0.2">
      <c r="C28" s="11" t="s">
        <v>70</v>
      </c>
      <c r="D28" s="16">
        <f t="shared" si="13"/>
        <v>24.992186278915259</v>
      </c>
      <c r="E28" s="16">
        <f t="shared" si="13"/>
        <v>6.49519052838329</v>
      </c>
      <c r="F28" s="16">
        <f t="shared" si="13"/>
        <v>28.277365064659044</v>
      </c>
      <c r="G28" s="16">
        <f t="shared" si="13"/>
        <v>26.331718041176121</v>
      </c>
      <c r="H28" s="16">
        <f t="shared" si="13"/>
        <v>14.238482187368147</v>
      </c>
      <c r="I28" s="16">
        <f t="shared" si="13"/>
        <v>27.922884879610844</v>
      </c>
      <c r="J28" s="16">
        <f>_xlfn.STDEV.P(J3,J5,J7,J9,J11,J13,J15,J17,J19)</f>
        <v>12.916666666666668</v>
      </c>
      <c r="K28" s="16">
        <f t="shared" ref="K28:X28" si="15">_xlfn.STDEV.P(K3,K5,K7,K9,K11,K13,K15,K17,K19)</f>
        <v>0.72843135908468359</v>
      </c>
      <c r="L28" s="16">
        <f t="shared" si="15"/>
        <v>0.7559289460184544</v>
      </c>
      <c r="M28" s="16">
        <f t="shared" si="15"/>
        <v>0.98974331861078702</v>
      </c>
      <c r="N28" s="16">
        <f t="shared" si="15"/>
        <v>0.98974331861078702</v>
      </c>
      <c r="O28" s="16">
        <f t="shared" si="15"/>
        <v>0.45175395145262565</v>
      </c>
      <c r="P28" s="16">
        <f t="shared" si="15"/>
        <v>0.49487165930539351</v>
      </c>
      <c r="Q28" s="16">
        <f t="shared" si="15"/>
        <v>0.83299312783504287</v>
      </c>
      <c r="R28" s="16">
        <f t="shared" si="15"/>
        <v>1.0690449676496976</v>
      </c>
      <c r="S28" s="16">
        <f t="shared" si="15"/>
        <v>1.0497813183356477</v>
      </c>
      <c r="T28" s="16">
        <f t="shared" si="15"/>
        <v>1.1248582677159731</v>
      </c>
      <c r="U28" s="16"/>
      <c r="V28" s="16"/>
      <c r="W28" s="16">
        <f>_xlfn.STDEV.P(W3,W5,W7,W9,W11,W13,W15,W17,W19)</f>
        <v>15.219482680473225</v>
      </c>
      <c r="X28" s="16">
        <f t="shared" si="15"/>
        <v>0.72843135908468359</v>
      </c>
      <c r="Z28" s="48">
        <f>(Z26+Z27)*2.5</f>
        <v>67.5</v>
      </c>
      <c r="AA28" s="48">
        <f>(AA26+AA27)*2.5</f>
        <v>70.714285714285708</v>
      </c>
      <c r="AB28" s="48">
        <f>(AB26+AB27)*2.5</f>
        <v>69.107142857142861</v>
      </c>
      <c r="AC28" s="50">
        <f t="shared" ref="AC28" si="16">(AA28-Z28)/Z28</f>
        <v>4.7619047619047526E-2</v>
      </c>
    </row>
    <row r="29" spans="1:29" x14ac:dyDescent="0.2">
      <c r="D29" s="16">
        <f t="shared" ref="D29:I29" si="17">_xlfn.STDEV.P(D2:D19)*5</f>
        <v>23.646766167343273</v>
      </c>
      <c r="E29" s="16">
        <f t="shared" si="17"/>
        <v>6.7583089959270923</v>
      </c>
      <c r="F29" s="16">
        <f t="shared" si="17"/>
        <v>27.647058823529413</v>
      </c>
      <c r="G29" s="16">
        <f t="shared" si="17"/>
        <v>27.762587157445186</v>
      </c>
      <c r="H29" s="16">
        <f t="shared" si="17"/>
        <v>13.926400707943195</v>
      </c>
      <c r="I29" s="16">
        <f t="shared" si="17"/>
        <v>26.565190429593265</v>
      </c>
      <c r="J29" s="16">
        <f t="shared" ref="J29:T29" si="18">_xlfn.STDEV.P(J2:J19)</f>
        <v>10.994388838334233</v>
      </c>
      <c r="K29" s="16">
        <f t="shared" si="18"/>
        <v>0.61101009266077866</v>
      </c>
      <c r="L29" s="16">
        <f t="shared" si="18"/>
        <v>0.88443327742810662</v>
      </c>
      <c r="M29" s="16">
        <f t="shared" si="18"/>
        <v>0.88443327742810662</v>
      </c>
      <c r="N29" s="16">
        <f t="shared" si="18"/>
        <v>0.96609178307929588</v>
      </c>
      <c r="O29" s="16">
        <f t="shared" si="18"/>
        <v>0.4</v>
      </c>
      <c r="P29" s="16">
        <f t="shared" si="18"/>
        <v>0.61101009266077866</v>
      </c>
      <c r="Q29" s="16">
        <f t="shared" si="18"/>
        <v>0.71802197428460057</v>
      </c>
      <c r="R29" s="16">
        <f t="shared" si="18"/>
        <v>1.0624918300339485</v>
      </c>
      <c r="S29" s="16">
        <f t="shared" si="18"/>
        <v>1.0873004286866728</v>
      </c>
      <c r="T29" s="16">
        <f t="shared" si="18"/>
        <v>1.1234866364235145</v>
      </c>
      <c r="U29" s="16"/>
      <c r="V29" s="16"/>
      <c r="W29" s="16">
        <f>_xlfn.STDEV.P(W2:W19)</f>
        <v>15.022205785658333</v>
      </c>
      <c r="X29" s="16">
        <f>_xlfn.STDEV.P(X2:X19)</f>
        <v>0.71180521680208741</v>
      </c>
    </row>
    <row r="30" spans="1:29" x14ac:dyDescent="0.2">
      <c r="D30" s="17">
        <f>D29/D24</f>
        <v>0.4100101538949345</v>
      </c>
      <c r="E30" s="17">
        <f t="shared" ref="E30:T30" si="19">E29/E24</f>
        <v>0.48904346503191021</v>
      </c>
      <c r="F30" s="17">
        <f t="shared" si="19"/>
        <v>0.46427713942719945</v>
      </c>
      <c r="G30" s="17">
        <f t="shared" si="19"/>
        <v>0.52776403309202735</v>
      </c>
      <c r="H30" s="17">
        <f t="shared" si="19"/>
        <v>0.22596075514859945</v>
      </c>
      <c r="I30" s="17">
        <f t="shared" si="19"/>
        <v>0.4559460574328284</v>
      </c>
      <c r="J30" s="17">
        <f t="shared" si="19"/>
        <v>0.22111620010057673</v>
      </c>
      <c r="K30" s="17">
        <f t="shared" si="19"/>
        <v>0.13880959508723573</v>
      </c>
      <c r="L30" s="17">
        <f t="shared" si="19"/>
        <v>0.41620389526028545</v>
      </c>
      <c r="M30" s="17">
        <f t="shared" si="19"/>
        <v>0.22876796090519153</v>
      </c>
      <c r="N30" s="17">
        <f t="shared" si="19"/>
        <v>0.32299187971606308</v>
      </c>
      <c r="O30" s="17">
        <f t="shared" si="19"/>
        <v>0.10541176470588236</v>
      </c>
      <c r="P30" s="17">
        <f t="shared" si="19"/>
        <v>0.23597631164830071</v>
      </c>
      <c r="Q30" s="17">
        <f t="shared" si="19"/>
        <v>0.18572392868331469</v>
      </c>
      <c r="R30" s="17">
        <f t="shared" si="19"/>
        <v>0.51514755395585388</v>
      </c>
      <c r="S30" s="17">
        <f t="shared" si="19"/>
        <v>0.30751931316390746</v>
      </c>
      <c r="T30" s="17">
        <f t="shared" si="19"/>
        <v>0.54708914469318959</v>
      </c>
      <c r="U30" s="17"/>
      <c r="V30" s="17"/>
      <c r="W30" s="17"/>
      <c r="X30" s="17">
        <f>X29/X24</f>
        <v>0.1271486192692724</v>
      </c>
      <c r="Z30" s="48"/>
    </row>
    <row r="31" spans="1:29" x14ac:dyDescent="0.2">
      <c r="D31" s="19"/>
      <c r="F31" s="19"/>
      <c r="Z31" s="48"/>
    </row>
    <row r="32" spans="1:29" x14ac:dyDescent="0.2">
      <c r="C32" s="11" t="s">
        <v>44</v>
      </c>
      <c r="D32" s="19">
        <f t="shared" ref="D32:X32" si="20">_xlfn.QUARTILE.INC(D$2:D$19,1)</f>
        <v>10</v>
      </c>
      <c r="E32" s="19">
        <f t="shared" si="20"/>
        <v>1</v>
      </c>
      <c r="F32" s="19">
        <f t="shared" si="20"/>
        <v>10</v>
      </c>
      <c r="G32" s="19">
        <f t="shared" si="20"/>
        <v>5</v>
      </c>
      <c r="H32" s="19">
        <f t="shared" si="20"/>
        <v>10</v>
      </c>
      <c r="I32" s="19">
        <f t="shared" si="20"/>
        <v>9</v>
      </c>
      <c r="J32" s="19"/>
      <c r="K32" s="19">
        <f t="shared" si="20"/>
        <v>4</v>
      </c>
      <c r="L32" s="19">
        <f t="shared" si="20"/>
        <v>1.5</v>
      </c>
      <c r="M32" s="19">
        <f t="shared" si="20"/>
        <v>3</v>
      </c>
      <c r="N32" s="19">
        <f t="shared" si="20"/>
        <v>3</v>
      </c>
      <c r="O32" s="19">
        <f t="shared" si="20"/>
        <v>4</v>
      </c>
      <c r="P32" s="19">
        <f t="shared" si="20"/>
        <v>2</v>
      </c>
      <c r="Q32" s="19">
        <f t="shared" si="20"/>
        <v>3</v>
      </c>
      <c r="R32" s="19">
        <f t="shared" si="20"/>
        <v>1</v>
      </c>
      <c r="S32" s="19">
        <f t="shared" si="20"/>
        <v>3</v>
      </c>
      <c r="T32" s="19">
        <f t="shared" si="20"/>
        <v>1</v>
      </c>
      <c r="U32" s="19"/>
      <c r="V32" s="19"/>
      <c r="W32" s="19"/>
      <c r="X32" s="19">
        <f t="shared" si="20"/>
        <v>5.5</v>
      </c>
      <c r="Z32" s="48"/>
    </row>
    <row r="33" spans="3:24" x14ac:dyDescent="0.2">
      <c r="C33" s="11" t="s">
        <v>45</v>
      </c>
      <c r="D33" s="14">
        <f t="shared" ref="D33:X33" si="21">_xlfn.QUARTILE.INC(D$2:D$19,3)</f>
        <v>15</v>
      </c>
      <c r="E33" s="14">
        <f t="shared" si="21"/>
        <v>4</v>
      </c>
      <c r="F33" s="14">
        <f t="shared" si="21"/>
        <v>17</v>
      </c>
      <c r="G33" s="14">
        <f t="shared" si="21"/>
        <v>15</v>
      </c>
      <c r="H33" s="14">
        <f t="shared" si="21"/>
        <v>15</v>
      </c>
      <c r="I33" s="14">
        <f t="shared" si="21"/>
        <v>15</v>
      </c>
      <c r="K33" s="14">
        <f t="shared" si="21"/>
        <v>5</v>
      </c>
      <c r="L33" s="14">
        <f t="shared" si="21"/>
        <v>3</v>
      </c>
      <c r="M33" s="14">
        <f t="shared" si="21"/>
        <v>4.5</v>
      </c>
      <c r="N33" s="14">
        <f t="shared" si="21"/>
        <v>4</v>
      </c>
      <c r="O33" s="14">
        <f t="shared" si="21"/>
        <v>4</v>
      </c>
      <c r="P33" s="14">
        <f t="shared" si="21"/>
        <v>3</v>
      </c>
      <c r="Q33" s="14">
        <f t="shared" si="21"/>
        <v>4</v>
      </c>
      <c r="R33" s="14">
        <f t="shared" si="21"/>
        <v>3</v>
      </c>
      <c r="S33" s="14">
        <f t="shared" si="21"/>
        <v>4.5</v>
      </c>
      <c r="T33" s="14">
        <f t="shared" si="21"/>
        <v>3</v>
      </c>
      <c r="X33" s="14">
        <f t="shared" si="21"/>
        <v>6</v>
      </c>
    </row>
    <row r="34" spans="3:24" x14ac:dyDescent="0.2">
      <c r="C34" s="11" t="s">
        <v>46</v>
      </c>
      <c r="D34" s="19">
        <f t="shared" ref="D34:X34" si="22">D$33-D$32</f>
        <v>5</v>
      </c>
      <c r="E34" s="19">
        <f t="shared" si="22"/>
        <v>3</v>
      </c>
      <c r="F34" s="19">
        <f t="shared" si="22"/>
        <v>7</v>
      </c>
      <c r="G34" s="19">
        <f t="shared" si="22"/>
        <v>10</v>
      </c>
      <c r="H34" s="19">
        <f t="shared" si="22"/>
        <v>5</v>
      </c>
      <c r="I34" s="19">
        <f t="shared" si="22"/>
        <v>6</v>
      </c>
      <c r="J34" s="19"/>
      <c r="K34" s="19">
        <f t="shared" si="22"/>
        <v>1</v>
      </c>
      <c r="L34" s="19">
        <f t="shared" si="22"/>
        <v>1.5</v>
      </c>
      <c r="M34" s="19">
        <f t="shared" si="22"/>
        <v>1.5</v>
      </c>
      <c r="N34" s="19">
        <f t="shared" si="22"/>
        <v>1</v>
      </c>
      <c r="O34" s="19">
        <f t="shared" si="22"/>
        <v>0</v>
      </c>
      <c r="P34" s="19">
        <f t="shared" si="22"/>
        <v>1</v>
      </c>
      <c r="Q34" s="19">
        <f t="shared" si="22"/>
        <v>1</v>
      </c>
      <c r="R34" s="19">
        <f t="shared" si="22"/>
        <v>2</v>
      </c>
      <c r="S34" s="19">
        <f t="shared" si="22"/>
        <v>1.5</v>
      </c>
      <c r="T34" s="19">
        <f t="shared" si="22"/>
        <v>2</v>
      </c>
      <c r="U34" s="19"/>
      <c r="V34" s="19"/>
      <c r="W34" s="19"/>
      <c r="X34" s="19">
        <f t="shared" si="22"/>
        <v>0.5</v>
      </c>
    </row>
    <row r="35" spans="3:24" x14ac:dyDescent="0.2">
      <c r="C35" s="11" t="s">
        <v>47</v>
      </c>
      <c r="D35" s="14">
        <f t="shared" ref="D35:X35" si="23">D$32-(D$34*1.5)</f>
        <v>2.5</v>
      </c>
      <c r="E35" s="14">
        <f t="shared" si="23"/>
        <v>-3.5</v>
      </c>
      <c r="F35" s="14">
        <f t="shared" si="23"/>
        <v>-0.5</v>
      </c>
      <c r="G35" s="14">
        <f t="shared" si="23"/>
        <v>-10</v>
      </c>
      <c r="H35" s="14">
        <f t="shared" si="23"/>
        <v>2.5</v>
      </c>
      <c r="I35" s="14">
        <f t="shared" si="23"/>
        <v>0</v>
      </c>
      <c r="K35" s="14">
        <f t="shared" si="23"/>
        <v>2.5</v>
      </c>
      <c r="L35" s="14">
        <f t="shared" si="23"/>
        <v>-0.75</v>
      </c>
      <c r="M35" s="14">
        <f t="shared" si="23"/>
        <v>0.75</v>
      </c>
      <c r="N35" s="14">
        <f t="shared" si="23"/>
        <v>1.5</v>
      </c>
      <c r="O35" s="14">
        <f t="shared" si="23"/>
        <v>4</v>
      </c>
      <c r="P35" s="14">
        <f t="shared" si="23"/>
        <v>0.5</v>
      </c>
      <c r="Q35" s="14">
        <f t="shared" si="23"/>
        <v>1.5</v>
      </c>
      <c r="R35" s="14">
        <f t="shared" si="23"/>
        <v>-2</v>
      </c>
      <c r="S35" s="14">
        <f t="shared" si="23"/>
        <v>0.75</v>
      </c>
      <c r="T35" s="14">
        <f t="shared" si="23"/>
        <v>-2</v>
      </c>
      <c r="X35" s="14">
        <f t="shared" si="23"/>
        <v>4.75</v>
      </c>
    </row>
    <row r="36" spans="3:24" x14ac:dyDescent="0.2">
      <c r="C36" s="11" t="s">
        <v>48</v>
      </c>
      <c r="D36" s="14">
        <f t="shared" ref="D36:X36" si="24">D$33+(D$34*1.5)</f>
        <v>22.5</v>
      </c>
      <c r="E36" s="14">
        <f t="shared" si="24"/>
        <v>8.5</v>
      </c>
      <c r="F36" s="14">
        <f t="shared" si="24"/>
        <v>27.5</v>
      </c>
      <c r="G36" s="14">
        <f t="shared" si="24"/>
        <v>30</v>
      </c>
      <c r="H36" s="14">
        <f t="shared" si="24"/>
        <v>22.5</v>
      </c>
      <c r="I36" s="14">
        <f t="shared" si="24"/>
        <v>24</v>
      </c>
      <c r="K36" s="14">
        <f t="shared" si="24"/>
        <v>6.5</v>
      </c>
      <c r="L36" s="14">
        <f t="shared" si="24"/>
        <v>5.25</v>
      </c>
      <c r="M36" s="14">
        <f t="shared" si="24"/>
        <v>6.75</v>
      </c>
      <c r="N36" s="14">
        <f t="shared" si="24"/>
        <v>5.5</v>
      </c>
      <c r="O36" s="14">
        <f t="shared" si="24"/>
        <v>4</v>
      </c>
      <c r="P36" s="14">
        <f t="shared" si="24"/>
        <v>4.5</v>
      </c>
      <c r="Q36" s="14">
        <f t="shared" si="24"/>
        <v>5.5</v>
      </c>
      <c r="R36" s="14">
        <f t="shared" si="24"/>
        <v>6</v>
      </c>
      <c r="S36" s="14">
        <f t="shared" si="24"/>
        <v>6.75</v>
      </c>
      <c r="T36" s="14">
        <f t="shared" si="24"/>
        <v>6</v>
      </c>
      <c r="X36" s="14">
        <f t="shared" si="24"/>
        <v>6.75</v>
      </c>
    </row>
    <row r="38" spans="3:24" x14ac:dyDescent="0.2">
      <c r="C38" s="11" t="s">
        <v>49</v>
      </c>
      <c r="D38" s="14">
        <f t="shared" ref="D38:X38" si="25">_xlfn.MINIFS(D$2:D$19,D$2:D$19,"&gt;"&amp;D$35,D$2:D$19,"&lt;"&amp;D$36)</f>
        <v>7</v>
      </c>
      <c r="E38" s="14">
        <f t="shared" si="25"/>
        <v>1</v>
      </c>
      <c r="F38" s="14">
        <f t="shared" si="25"/>
        <v>1</v>
      </c>
      <c r="G38" s="14">
        <f t="shared" si="25"/>
        <v>2</v>
      </c>
      <c r="H38" s="14">
        <f t="shared" si="25"/>
        <v>7</v>
      </c>
      <c r="I38" s="14">
        <f t="shared" si="25"/>
        <v>1</v>
      </c>
      <c r="K38" s="14">
        <f t="shared" si="25"/>
        <v>3</v>
      </c>
      <c r="L38" s="14">
        <f t="shared" si="25"/>
        <v>1</v>
      </c>
      <c r="M38" s="14">
        <f t="shared" si="25"/>
        <v>2</v>
      </c>
      <c r="N38" s="14">
        <f t="shared" si="25"/>
        <v>2</v>
      </c>
      <c r="O38" s="14">
        <f t="shared" si="25"/>
        <v>0</v>
      </c>
      <c r="P38" s="14">
        <f t="shared" si="25"/>
        <v>2</v>
      </c>
      <c r="Q38" s="14">
        <f t="shared" si="25"/>
        <v>3</v>
      </c>
      <c r="R38" s="14">
        <f t="shared" si="25"/>
        <v>1</v>
      </c>
      <c r="S38" s="14">
        <f t="shared" si="25"/>
        <v>2</v>
      </c>
      <c r="T38" s="14">
        <f t="shared" si="25"/>
        <v>1</v>
      </c>
      <c r="X38" s="14">
        <f t="shared" si="25"/>
        <v>5</v>
      </c>
    </row>
    <row r="39" spans="3:24" x14ac:dyDescent="0.2">
      <c r="C39" s="11" t="s">
        <v>50</v>
      </c>
      <c r="D39" s="14">
        <f t="shared" ref="D39:X39" si="26">_xlfn.MAXIFS(D$2:D$19,D$2:D$19,"&gt;"&amp;D$35,D$2:D$19,"&lt;"&amp;D$36)</f>
        <v>16</v>
      </c>
      <c r="E39" s="14">
        <f t="shared" si="26"/>
        <v>5</v>
      </c>
      <c r="F39" s="14">
        <f t="shared" si="26"/>
        <v>18</v>
      </c>
      <c r="G39" s="14">
        <f t="shared" si="26"/>
        <v>18</v>
      </c>
      <c r="H39" s="14">
        <f t="shared" si="26"/>
        <v>17</v>
      </c>
      <c r="I39" s="14">
        <f t="shared" si="26"/>
        <v>19</v>
      </c>
      <c r="K39" s="14">
        <f t="shared" si="26"/>
        <v>5</v>
      </c>
      <c r="L39" s="14">
        <f t="shared" si="26"/>
        <v>4</v>
      </c>
      <c r="M39" s="14">
        <f t="shared" si="26"/>
        <v>5</v>
      </c>
      <c r="N39" s="14">
        <f t="shared" si="26"/>
        <v>4</v>
      </c>
      <c r="O39" s="14">
        <f t="shared" si="26"/>
        <v>0</v>
      </c>
      <c r="P39" s="14">
        <f t="shared" si="26"/>
        <v>4</v>
      </c>
      <c r="Q39" s="14">
        <f t="shared" si="26"/>
        <v>5</v>
      </c>
      <c r="R39" s="14">
        <f t="shared" si="26"/>
        <v>4</v>
      </c>
      <c r="S39" s="14">
        <f t="shared" si="26"/>
        <v>5</v>
      </c>
      <c r="T39" s="14">
        <f t="shared" si="26"/>
        <v>4</v>
      </c>
      <c r="X39" s="14">
        <f t="shared" si="26"/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827E-679B-4832-8503-5C2F9D555119}">
  <dimension ref="A1"/>
  <sheetViews>
    <sheetView zoomScale="130" zoomScaleNormal="130" workbookViewId="0">
      <selection activeCell="R21" sqref="R21"/>
    </sheetView>
  </sheetViews>
  <sheetFormatPr defaultRowHeight="13.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9C4B9-C398-4BE0-8D26-08EB984CCE57}">
  <dimension ref="A1:S32"/>
  <sheetViews>
    <sheetView tabSelected="1" workbookViewId="0">
      <selection activeCell="C13" sqref="C13"/>
    </sheetView>
  </sheetViews>
  <sheetFormatPr defaultRowHeight="13.5" x14ac:dyDescent="0.25"/>
  <cols>
    <col min="1" max="1" width="15.42578125" style="8" bestFit="1" customWidth="1"/>
    <col min="2" max="3" width="8.5703125" style="9" bestFit="1" customWidth="1"/>
    <col min="4" max="4" width="7.140625" style="10" bestFit="1" customWidth="1"/>
    <col min="5" max="5" width="9" style="9" bestFit="1" customWidth="1"/>
    <col min="6" max="7" width="7.140625" style="9" bestFit="1" customWidth="1"/>
    <col min="8" max="8" width="8.5703125" style="10" bestFit="1" customWidth="1"/>
  </cols>
  <sheetData>
    <row r="1" spans="1:16" x14ac:dyDescent="0.25">
      <c r="A1" s="8" t="s">
        <v>79</v>
      </c>
      <c r="B1" s="9" t="s">
        <v>86</v>
      </c>
      <c r="C1" s="9" t="s">
        <v>81</v>
      </c>
      <c r="D1" s="9" t="s">
        <v>84</v>
      </c>
      <c r="E1" s="9" t="s">
        <v>82</v>
      </c>
      <c r="F1" s="9" t="s">
        <v>89</v>
      </c>
      <c r="G1" s="9" t="s">
        <v>83</v>
      </c>
      <c r="H1" s="9" t="s">
        <v>153</v>
      </c>
      <c r="K1" s="9" t="s">
        <v>175</v>
      </c>
      <c r="L1" s="9"/>
      <c r="M1" s="9" t="s">
        <v>176</v>
      </c>
      <c r="N1" s="9"/>
      <c r="O1" s="9" t="s">
        <v>177</v>
      </c>
    </row>
    <row r="2" spans="1:16" x14ac:dyDescent="0.25">
      <c r="A2" s="8" t="s">
        <v>158</v>
      </c>
      <c r="B2" s="9">
        <v>2</v>
      </c>
      <c r="D2" s="9"/>
      <c r="F2" s="9">
        <v>1</v>
      </c>
      <c r="H2" s="9"/>
      <c r="J2" t="s">
        <v>174</v>
      </c>
      <c r="K2">
        <v>3</v>
      </c>
      <c r="L2" s="45">
        <f>K2/SUM(K$3:K$5)</f>
        <v>0.6</v>
      </c>
      <c r="M2">
        <v>2</v>
      </c>
      <c r="N2" s="45">
        <f>M2/SUM(M$3:M$5)</f>
        <v>0.66666666666666663</v>
      </c>
      <c r="O2">
        <f t="shared" ref="O2" si="0">M2+K2</f>
        <v>5</v>
      </c>
      <c r="P2" s="47"/>
    </row>
    <row r="3" spans="1:16" x14ac:dyDescent="0.25">
      <c r="A3" s="8" t="s">
        <v>159</v>
      </c>
      <c r="B3" s="9">
        <v>1</v>
      </c>
      <c r="D3" s="9"/>
      <c r="H3" s="9"/>
      <c r="J3" t="s">
        <v>172</v>
      </c>
      <c r="K3">
        <v>2</v>
      </c>
      <c r="L3" s="45">
        <f>K3/SUM(K$3:K$5)</f>
        <v>0.4</v>
      </c>
      <c r="M3">
        <v>2</v>
      </c>
      <c r="N3" s="45">
        <f>M3/SUM(M$3:M$5)</f>
        <v>0.66666666666666663</v>
      </c>
      <c r="O3">
        <f>M3+K3</f>
        <v>4</v>
      </c>
      <c r="P3" s="47"/>
    </row>
    <row r="4" spans="1:16" x14ac:dyDescent="0.25">
      <c r="A4" s="8" t="s">
        <v>155</v>
      </c>
      <c r="B4" s="9">
        <v>1</v>
      </c>
      <c r="D4" s="9"/>
      <c r="F4" s="9">
        <v>1</v>
      </c>
      <c r="H4" s="9"/>
      <c r="J4" t="s">
        <v>173</v>
      </c>
      <c r="K4">
        <v>2</v>
      </c>
      <c r="L4" s="45">
        <f>K4/SUM(K$3:K$5)</f>
        <v>0.4</v>
      </c>
      <c r="M4">
        <v>1</v>
      </c>
      <c r="N4" s="45">
        <f>M4/SUM(M$3:M$5)</f>
        <v>0.33333333333333331</v>
      </c>
      <c r="O4">
        <f t="shared" ref="O4:O5" si="1">M4+K4</f>
        <v>3</v>
      </c>
      <c r="P4" s="47"/>
    </row>
    <row r="5" spans="1:16" x14ac:dyDescent="0.25">
      <c r="A5" s="8" t="s">
        <v>156</v>
      </c>
      <c r="D5" s="9"/>
      <c r="H5" s="9"/>
      <c r="J5" t="s">
        <v>133</v>
      </c>
      <c r="K5">
        <v>1</v>
      </c>
      <c r="L5" s="45">
        <f>K5/SUM(K$3:K$5)</f>
        <v>0.2</v>
      </c>
      <c r="N5" s="45">
        <f>M5/SUM(M$3:M$5)</f>
        <v>0</v>
      </c>
      <c r="O5">
        <f t="shared" si="1"/>
        <v>1</v>
      </c>
      <c r="P5" s="47"/>
    </row>
    <row r="6" spans="1:16" x14ac:dyDescent="0.25">
      <c r="A6" s="8" t="s">
        <v>80</v>
      </c>
      <c r="B6" s="9">
        <v>1</v>
      </c>
      <c r="C6" s="9">
        <v>2</v>
      </c>
      <c r="E6" s="9">
        <v>3</v>
      </c>
      <c r="G6" s="9">
        <v>2</v>
      </c>
      <c r="H6" s="10">
        <v>1</v>
      </c>
      <c r="O6">
        <f>SUM(O2:O5)</f>
        <v>13</v>
      </c>
      <c r="P6" s="46"/>
    </row>
    <row r="7" spans="1:16" x14ac:dyDescent="0.25">
      <c r="A7" s="8" t="s">
        <v>85</v>
      </c>
      <c r="D7" s="10">
        <v>1</v>
      </c>
      <c r="E7" s="9">
        <v>2</v>
      </c>
      <c r="G7" s="9">
        <v>3</v>
      </c>
    </row>
    <row r="8" spans="1:16" x14ac:dyDescent="0.25">
      <c r="A8" s="8" t="s">
        <v>87</v>
      </c>
      <c r="B8" s="10">
        <v>1</v>
      </c>
      <c r="F8" s="9">
        <v>1</v>
      </c>
      <c r="H8" s="9">
        <v>1</v>
      </c>
    </row>
    <row r="9" spans="1:16" x14ac:dyDescent="0.25">
      <c r="A9" s="8" t="s">
        <v>157</v>
      </c>
      <c r="B9" s="10"/>
      <c r="H9" s="9"/>
    </row>
    <row r="10" spans="1:16" x14ac:dyDescent="0.25">
      <c r="A10" s="8" t="s">
        <v>88</v>
      </c>
      <c r="B10" s="9">
        <v>2</v>
      </c>
      <c r="F10" s="9">
        <v>1</v>
      </c>
    </row>
    <row r="11" spans="1:16" x14ac:dyDescent="0.25">
      <c r="A11" s="8" t="s">
        <v>90</v>
      </c>
      <c r="B11" s="9">
        <v>1</v>
      </c>
      <c r="D11" s="10">
        <v>1</v>
      </c>
      <c r="E11" s="9">
        <v>1</v>
      </c>
    </row>
    <row r="12" spans="1:16" x14ac:dyDescent="0.25">
      <c r="A12" s="8" t="s">
        <v>91</v>
      </c>
      <c r="C12" s="9">
        <v>1</v>
      </c>
      <c r="D12" s="10">
        <v>1</v>
      </c>
    </row>
    <row r="13" spans="1:16" x14ac:dyDescent="0.25">
      <c r="A13" s="8" t="s">
        <v>92</v>
      </c>
      <c r="B13" s="9">
        <v>1</v>
      </c>
      <c r="E13" s="9">
        <v>2</v>
      </c>
      <c r="F13" s="9">
        <v>1</v>
      </c>
    </row>
    <row r="14" spans="1:16" x14ac:dyDescent="0.25">
      <c r="A14" s="8" t="s">
        <v>93</v>
      </c>
      <c r="B14" s="9">
        <v>1</v>
      </c>
    </row>
    <row r="15" spans="1:16" x14ac:dyDescent="0.25">
      <c r="A15" s="8" t="s">
        <v>94</v>
      </c>
      <c r="B15" s="9">
        <v>1</v>
      </c>
      <c r="E15" s="9">
        <v>1</v>
      </c>
      <c r="F15" s="9">
        <v>1</v>
      </c>
      <c r="H15" s="10">
        <v>1</v>
      </c>
    </row>
    <row r="16" spans="1:16" x14ac:dyDescent="0.25">
      <c r="A16" s="8" t="s">
        <v>95</v>
      </c>
      <c r="C16" s="9">
        <v>2</v>
      </c>
    </row>
    <row r="17" spans="1:19" x14ac:dyDescent="0.25">
      <c r="A17" s="8" t="s">
        <v>96</v>
      </c>
      <c r="B17" s="9">
        <v>1</v>
      </c>
      <c r="C17" s="9">
        <v>2</v>
      </c>
      <c r="E17" s="9">
        <v>1</v>
      </c>
    </row>
    <row r="18" spans="1:19" x14ac:dyDescent="0.25">
      <c r="A18" s="8" t="s">
        <v>97</v>
      </c>
      <c r="D18" s="10">
        <v>1</v>
      </c>
      <c r="H18" s="10">
        <v>1</v>
      </c>
    </row>
    <row r="19" spans="1:19" x14ac:dyDescent="0.25">
      <c r="A19" s="8" t="s">
        <v>98</v>
      </c>
      <c r="F19" s="9">
        <v>1</v>
      </c>
    </row>
    <row r="21" spans="1:19" x14ac:dyDescent="0.25">
      <c r="B21" s="9" t="s">
        <v>86</v>
      </c>
      <c r="C21" s="9" t="s">
        <v>81</v>
      </c>
      <c r="D21" s="9" t="s">
        <v>154</v>
      </c>
      <c r="E21" s="9" t="s">
        <v>82</v>
      </c>
      <c r="F21" s="9" t="s">
        <v>89</v>
      </c>
      <c r="G21" s="9" t="s">
        <v>83</v>
      </c>
      <c r="H21" s="9" t="s">
        <v>152</v>
      </c>
    </row>
    <row r="22" spans="1:19" x14ac:dyDescent="0.25">
      <c r="A22" s="8" t="s">
        <v>168</v>
      </c>
      <c r="B22" s="9">
        <f>COUNTA(B2,B4,B6,B8,B10,B12,B14,B16,B18)</f>
        <v>6</v>
      </c>
      <c r="C22" s="9">
        <f t="shared" ref="C22:H22" si="2">COUNTA(C2,C4,C6,C8,C10,C12,C14,C16,C18)</f>
        <v>3</v>
      </c>
      <c r="D22" s="9">
        <f t="shared" si="2"/>
        <v>2</v>
      </c>
      <c r="E22" s="9">
        <f t="shared" si="2"/>
        <v>1</v>
      </c>
      <c r="F22" s="9">
        <f t="shared" si="2"/>
        <v>4</v>
      </c>
      <c r="G22" s="9">
        <f t="shared" si="2"/>
        <v>1</v>
      </c>
      <c r="H22" s="9">
        <f t="shared" si="2"/>
        <v>3</v>
      </c>
      <c r="J22" s="8" t="s">
        <v>161</v>
      </c>
      <c r="K22" s="35">
        <f>COUNTA(B2,B4,B6,B8,B10,B12,B14,B16,B18)/9</f>
        <v>0.66666666666666663</v>
      </c>
      <c r="L22" s="35"/>
      <c r="M22" s="35">
        <f>COUNTA(C2,C4,C6,C8,C10,C12,C14,C16,C18)/9</f>
        <v>0.33333333333333331</v>
      </c>
      <c r="N22" s="35"/>
      <c r="O22" s="35">
        <f t="shared" ref="O22:S23" si="3">COUNTA(D2,D4,D6,D8,D10,D12,D14,D16,D18)/9</f>
        <v>0.22222222222222221</v>
      </c>
      <c r="P22" s="35">
        <f t="shared" si="3"/>
        <v>0.1111111111111111</v>
      </c>
      <c r="Q22" s="35">
        <f t="shared" si="3"/>
        <v>0.44444444444444442</v>
      </c>
      <c r="R22" s="35">
        <f t="shared" si="3"/>
        <v>0.1111111111111111</v>
      </c>
      <c r="S22" s="35">
        <f t="shared" si="3"/>
        <v>0.33333333333333331</v>
      </c>
    </row>
    <row r="23" spans="1:19" x14ac:dyDescent="0.25">
      <c r="A23" s="8" t="s">
        <v>169</v>
      </c>
      <c r="B23" s="9">
        <f>COUNTA(B3,B5,B7,B9,B11,B13,B15,B17,B19)</f>
        <v>5</v>
      </c>
      <c r="C23" s="9">
        <f t="shared" ref="C23:H23" si="4">COUNTA(C3,C5,C7,C9,C11,C13,C15,C17,C19)</f>
        <v>1</v>
      </c>
      <c r="D23" s="9">
        <f t="shared" si="4"/>
        <v>2</v>
      </c>
      <c r="E23" s="9">
        <f>COUNTA(E3,E5,E7,E9,E11,E13,E15,E17,E19)</f>
        <v>5</v>
      </c>
      <c r="F23" s="9">
        <f t="shared" si="4"/>
        <v>3</v>
      </c>
      <c r="G23" s="9">
        <f t="shared" si="4"/>
        <v>1</v>
      </c>
      <c r="H23" s="9">
        <f t="shared" si="4"/>
        <v>1</v>
      </c>
      <c r="J23" s="8" t="s">
        <v>162</v>
      </c>
      <c r="K23" s="35">
        <f>COUNTA(B3,B5,B7,B9,B11,B13,B15,B17,B19)/9</f>
        <v>0.55555555555555558</v>
      </c>
      <c r="L23" s="35"/>
      <c r="M23" s="35">
        <f>COUNTA(C3,C5,C7,C9,C11,C13,C15,C17,C19)/9</f>
        <v>0.1111111111111111</v>
      </c>
      <c r="N23" s="35"/>
      <c r="O23" s="35">
        <f t="shared" si="3"/>
        <v>0.22222222222222221</v>
      </c>
      <c r="P23" s="35">
        <f t="shared" si="3"/>
        <v>0.55555555555555558</v>
      </c>
      <c r="Q23" s="35">
        <f t="shared" si="3"/>
        <v>0.33333333333333331</v>
      </c>
      <c r="R23" s="35">
        <f t="shared" si="3"/>
        <v>0.1111111111111111</v>
      </c>
      <c r="S23" s="35">
        <f t="shared" si="3"/>
        <v>0.1111111111111111</v>
      </c>
    </row>
    <row r="24" spans="1:19" x14ac:dyDescent="0.25">
      <c r="A24" s="8" t="s">
        <v>163</v>
      </c>
      <c r="B24" s="9">
        <f>B22+B23</f>
        <v>11</v>
      </c>
      <c r="C24" s="9">
        <f t="shared" ref="C24:H24" si="5">C22+C23</f>
        <v>4</v>
      </c>
      <c r="D24" s="9">
        <f t="shared" si="5"/>
        <v>4</v>
      </c>
      <c r="E24" s="9">
        <f t="shared" si="5"/>
        <v>6</v>
      </c>
      <c r="F24" s="9">
        <f t="shared" si="5"/>
        <v>7</v>
      </c>
      <c r="G24" s="9">
        <f t="shared" si="5"/>
        <v>2</v>
      </c>
      <c r="H24" s="9">
        <f t="shared" si="5"/>
        <v>4</v>
      </c>
      <c r="J24" s="8" t="s">
        <v>166</v>
      </c>
      <c r="K24" s="35">
        <f>COUNTA(B2:B19)/18</f>
        <v>0.61111111111111116</v>
      </c>
      <c r="L24" s="35"/>
      <c r="M24" s="35">
        <f>COUNTA(C2:C19)/18</f>
        <v>0.22222222222222221</v>
      </c>
      <c r="N24" s="35"/>
      <c r="O24" s="35">
        <f>COUNTA(D2:D19)/18</f>
        <v>0.22222222222222221</v>
      </c>
      <c r="P24" s="35">
        <f>COUNTA(E2:E19)/18</f>
        <v>0.33333333333333331</v>
      </c>
      <c r="Q24" s="35">
        <f>COUNTA(F2:F19)/18</f>
        <v>0.3888888888888889</v>
      </c>
      <c r="R24" s="35">
        <f>COUNTA(G2:G19)/18</f>
        <v>0.1111111111111111</v>
      </c>
      <c r="S24" s="35">
        <f>COUNTA(H2:H19)/18</f>
        <v>0.22222222222222221</v>
      </c>
    </row>
    <row r="25" spans="1:19" x14ac:dyDescent="0.25">
      <c r="A25" s="8" t="s">
        <v>165</v>
      </c>
      <c r="B25" s="35">
        <f>(B23-B22)/B22</f>
        <v>-0.16666666666666666</v>
      </c>
      <c r="C25" s="35">
        <f t="shared" ref="C25:G25" si="6">(C23-C22)/C22</f>
        <v>-0.66666666666666663</v>
      </c>
      <c r="D25" s="35">
        <f t="shared" si="6"/>
        <v>0</v>
      </c>
      <c r="E25" s="35">
        <v>4</v>
      </c>
      <c r="F25" s="35">
        <f t="shared" si="6"/>
        <v>-0.25</v>
      </c>
      <c r="G25" s="35">
        <f t="shared" si="6"/>
        <v>0</v>
      </c>
      <c r="H25" s="35">
        <f>(H23-H22)/H22</f>
        <v>-0.66666666666666663</v>
      </c>
      <c r="J25" s="8" t="s">
        <v>167</v>
      </c>
      <c r="K25" s="34">
        <f>(K23-K22)/K22</f>
        <v>-0.16666666666666657</v>
      </c>
      <c r="L25" s="34"/>
      <c r="M25" s="34">
        <f t="shared" ref="M25:S25" si="7">(M23-M22)/M22</f>
        <v>-0.66666666666666663</v>
      </c>
      <c r="N25" s="34"/>
      <c r="O25" s="34">
        <f t="shared" si="7"/>
        <v>0</v>
      </c>
      <c r="P25" s="34">
        <f t="shared" si="7"/>
        <v>4.0000000000000009</v>
      </c>
      <c r="Q25" s="34">
        <f t="shared" si="7"/>
        <v>-0.25</v>
      </c>
      <c r="R25" s="34">
        <f t="shared" si="7"/>
        <v>0</v>
      </c>
      <c r="S25" s="34">
        <f t="shared" si="7"/>
        <v>-0.66666666666666663</v>
      </c>
    </row>
    <row r="26" spans="1:19" x14ac:dyDescent="0.25">
      <c r="A26" s="8" t="s">
        <v>170</v>
      </c>
      <c r="B26" s="36">
        <f t="shared" ref="B26:H27" si="8">SUM(B2,B4,B6,B8,B10,B12,B14,B16,B18)</f>
        <v>8</v>
      </c>
      <c r="C26" s="36">
        <f t="shared" si="8"/>
        <v>5</v>
      </c>
      <c r="D26" s="36">
        <f t="shared" si="8"/>
        <v>2</v>
      </c>
      <c r="E26" s="36">
        <f t="shared" si="8"/>
        <v>3</v>
      </c>
      <c r="F26" s="36">
        <f t="shared" si="8"/>
        <v>4</v>
      </c>
      <c r="G26" s="36">
        <f t="shared" si="8"/>
        <v>2</v>
      </c>
      <c r="H26" s="36">
        <f t="shared" si="8"/>
        <v>3</v>
      </c>
    </row>
    <row r="27" spans="1:19" x14ac:dyDescent="0.25">
      <c r="A27" s="8" t="s">
        <v>171</v>
      </c>
      <c r="B27" s="36">
        <f t="shared" si="8"/>
        <v>5</v>
      </c>
      <c r="C27" s="36">
        <f t="shared" si="8"/>
        <v>2</v>
      </c>
      <c r="D27" s="36">
        <f t="shared" si="8"/>
        <v>2</v>
      </c>
      <c r="E27" s="36">
        <f t="shared" si="8"/>
        <v>7</v>
      </c>
      <c r="F27" s="36">
        <f t="shared" si="8"/>
        <v>3</v>
      </c>
      <c r="G27" s="36">
        <f t="shared" si="8"/>
        <v>3</v>
      </c>
      <c r="H27" s="36">
        <f t="shared" si="8"/>
        <v>1</v>
      </c>
    </row>
    <row r="28" spans="1:19" x14ac:dyDescent="0.25">
      <c r="A28" s="8" t="s">
        <v>99</v>
      </c>
      <c r="B28" s="38">
        <f>SUM(B26:B27)</f>
        <v>13</v>
      </c>
      <c r="C28" s="38">
        <f t="shared" ref="C28:H28" si="9">SUM(C26:C27)</f>
        <v>7</v>
      </c>
      <c r="D28" s="38">
        <f t="shared" si="9"/>
        <v>4</v>
      </c>
      <c r="E28" s="38">
        <f t="shared" si="9"/>
        <v>10</v>
      </c>
      <c r="F28" s="38">
        <f t="shared" si="9"/>
        <v>7</v>
      </c>
      <c r="G28" s="38">
        <f t="shared" si="9"/>
        <v>5</v>
      </c>
      <c r="H28" s="38">
        <f t="shared" si="9"/>
        <v>4</v>
      </c>
    </row>
    <row r="29" spans="1:19" x14ac:dyDescent="0.25">
      <c r="A29" s="8" t="s">
        <v>164</v>
      </c>
      <c r="B29" s="35">
        <f>(B27-B26)/B26</f>
        <v>-0.375</v>
      </c>
      <c r="C29" s="35">
        <f t="shared" ref="C29:H29" si="10">(C27-C26)/C26</f>
        <v>-0.6</v>
      </c>
      <c r="D29" s="35">
        <f t="shared" si="10"/>
        <v>0</v>
      </c>
      <c r="E29" s="35">
        <f t="shared" si="10"/>
        <v>1.3333333333333333</v>
      </c>
      <c r="F29" s="35">
        <f t="shared" si="10"/>
        <v>-0.25</v>
      </c>
      <c r="G29" s="35">
        <f t="shared" si="10"/>
        <v>0.5</v>
      </c>
      <c r="H29" s="35">
        <f t="shared" si="10"/>
        <v>-0.66666666666666663</v>
      </c>
    </row>
    <row r="30" spans="1:19" x14ac:dyDescent="0.25">
      <c r="A30" s="8" t="s">
        <v>160</v>
      </c>
      <c r="B30" s="37">
        <f t="shared" ref="B30:H30" si="11">B28/B24</f>
        <v>1.1818181818181819</v>
      </c>
      <c r="C30" s="37">
        <f t="shared" si="11"/>
        <v>1.75</v>
      </c>
      <c r="D30" s="37">
        <f t="shared" si="11"/>
        <v>1</v>
      </c>
      <c r="E30" s="37">
        <f t="shared" si="11"/>
        <v>1.6666666666666667</v>
      </c>
      <c r="F30" s="37">
        <f t="shared" si="11"/>
        <v>1</v>
      </c>
      <c r="G30" s="37">
        <f t="shared" si="11"/>
        <v>2.5</v>
      </c>
      <c r="H30" s="37">
        <f t="shared" si="11"/>
        <v>1</v>
      </c>
      <c r="J30" s="34">
        <f>B22/9</f>
        <v>0.66666666666666663</v>
      </c>
      <c r="K30" s="34">
        <f t="shared" ref="K30" si="12">C22/9</f>
        <v>0.33333333333333331</v>
      </c>
      <c r="L30" s="34"/>
      <c r="M30" s="34">
        <f>D22/9</f>
        <v>0.22222222222222221</v>
      </c>
      <c r="N30" s="34"/>
      <c r="O30" s="34">
        <f t="shared" ref="O30:R31" si="13">E22/9</f>
        <v>0.1111111111111111</v>
      </c>
      <c r="P30" s="34">
        <f t="shared" si="13"/>
        <v>0.44444444444444442</v>
      </c>
      <c r="Q30" s="34">
        <f t="shared" si="13"/>
        <v>0.1111111111111111</v>
      </c>
      <c r="R30" s="34">
        <f t="shared" si="13"/>
        <v>0.33333333333333331</v>
      </c>
    </row>
    <row r="31" spans="1:19" x14ac:dyDescent="0.25">
      <c r="B31" s="34"/>
      <c r="J31" s="34">
        <f>B23/9</f>
        <v>0.55555555555555558</v>
      </c>
      <c r="K31" s="34">
        <f>C23/9</f>
        <v>0.1111111111111111</v>
      </c>
      <c r="L31" s="34"/>
      <c r="M31" s="34">
        <f>D23/9</f>
        <v>0.22222222222222221</v>
      </c>
      <c r="N31" s="34"/>
      <c r="O31" s="34">
        <f t="shared" si="13"/>
        <v>0.55555555555555558</v>
      </c>
      <c r="P31" s="34">
        <f t="shared" si="13"/>
        <v>0.33333333333333331</v>
      </c>
      <c r="Q31" s="34">
        <f t="shared" si="13"/>
        <v>0.1111111111111111</v>
      </c>
      <c r="R31" s="34">
        <f t="shared" si="13"/>
        <v>0.1111111111111111</v>
      </c>
    </row>
    <row r="32" spans="1:19" x14ac:dyDescent="0.25">
      <c r="J32" s="34">
        <f>B24/18</f>
        <v>0.61111111111111116</v>
      </c>
      <c r="K32" s="34">
        <f t="shared" ref="K32" si="14">C24/18</f>
        <v>0.22222222222222221</v>
      </c>
      <c r="L32" s="34"/>
      <c r="M32" s="34">
        <f>D24/18</f>
        <v>0.22222222222222221</v>
      </c>
      <c r="N32" s="34"/>
      <c r="O32" s="34">
        <f>E24/18</f>
        <v>0.33333333333333331</v>
      </c>
      <c r="P32" s="34">
        <f>F24/18</f>
        <v>0.3888888888888889</v>
      </c>
      <c r="Q32" s="34">
        <f>G24/18</f>
        <v>0.1111111111111111</v>
      </c>
      <c r="R32" s="34">
        <f>H24/18</f>
        <v>0.22222222222222221</v>
      </c>
    </row>
  </sheetData>
  <pageMargins left="0.7" right="0.7" top="0.75" bottom="0.75" header="0.3" footer="0.3"/>
  <pageSetup paperSize="9" orientation="portrait" verticalDpi="0" r:id="rId1"/>
  <ignoredErrors>
    <ignoredError sqref="O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1133-E355-49AE-99A6-E8922EC50208}">
  <dimension ref="A1:G31"/>
  <sheetViews>
    <sheetView workbookViewId="0"/>
  </sheetViews>
  <sheetFormatPr defaultRowHeight="13.5" x14ac:dyDescent="0.25"/>
  <cols>
    <col min="1" max="1" width="3" bestFit="1" customWidth="1"/>
    <col min="2" max="2" width="84.42578125" style="5" bestFit="1" customWidth="1"/>
    <col min="3" max="7" width="7.28515625" style="6" customWidth="1"/>
  </cols>
  <sheetData>
    <row r="1" spans="1:7" ht="14.25" x14ac:dyDescent="0.3">
      <c r="C1" s="7" t="s">
        <v>61</v>
      </c>
      <c r="D1" s="7">
        <v>2</v>
      </c>
      <c r="E1" s="7">
        <v>3</v>
      </c>
      <c r="F1" s="7">
        <v>4</v>
      </c>
      <c r="G1" s="7" t="s">
        <v>62</v>
      </c>
    </row>
    <row r="2" spans="1:7" x14ac:dyDescent="0.25">
      <c r="A2">
        <v>1</v>
      </c>
      <c r="B2" s="5" t="s">
        <v>51</v>
      </c>
      <c r="C2" s="39"/>
      <c r="D2" s="39"/>
      <c r="E2" s="39"/>
      <c r="F2" s="39"/>
      <c r="G2" s="39"/>
    </row>
    <row r="3" spans="1:7" x14ac:dyDescent="0.25">
      <c r="B3" s="5">
        <v>1</v>
      </c>
      <c r="C3" s="39">
        <v>4</v>
      </c>
      <c r="D3" s="39"/>
      <c r="E3" s="39"/>
      <c r="F3" s="39"/>
      <c r="G3" s="39"/>
    </row>
    <row r="4" spans="1:7" x14ac:dyDescent="0.25">
      <c r="B4" s="5">
        <v>2</v>
      </c>
      <c r="C4" s="39">
        <v>4</v>
      </c>
      <c r="D4" s="39"/>
      <c r="E4" s="39"/>
      <c r="F4" s="39"/>
      <c r="G4" s="39"/>
    </row>
    <row r="5" spans="1:7" x14ac:dyDescent="0.25">
      <c r="A5">
        <v>2</v>
      </c>
      <c r="B5" s="5" t="s">
        <v>60</v>
      </c>
      <c r="C5" s="39"/>
      <c r="D5" s="39"/>
      <c r="E5" s="39"/>
      <c r="F5" s="39"/>
      <c r="G5" s="39"/>
    </row>
    <row r="6" spans="1:7" x14ac:dyDescent="0.25">
      <c r="B6" s="5">
        <v>1</v>
      </c>
      <c r="C6" s="39">
        <v>2.6</v>
      </c>
      <c r="D6" s="39"/>
      <c r="E6" s="39"/>
      <c r="F6" s="39"/>
      <c r="G6" s="39"/>
    </row>
    <row r="7" spans="1:7" x14ac:dyDescent="0.25">
      <c r="B7" s="5">
        <v>2</v>
      </c>
      <c r="C7" s="39">
        <v>2.5</v>
      </c>
      <c r="D7" s="39"/>
      <c r="E7" s="39"/>
      <c r="F7" s="39"/>
      <c r="G7" s="39"/>
    </row>
    <row r="8" spans="1:7" x14ac:dyDescent="0.25">
      <c r="A8">
        <v>3</v>
      </c>
      <c r="B8" s="5" t="s">
        <v>52</v>
      </c>
      <c r="C8" s="39"/>
      <c r="D8" s="39"/>
      <c r="E8" s="39"/>
      <c r="F8" s="39"/>
      <c r="G8" s="39"/>
    </row>
    <row r="9" spans="1:7" x14ac:dyDescent="0.25">
      <c r="B9" s="5">
        <v>1</v>
      </c>
      <c r="C9" s="39">
        <v>2.6</v>
      </c>
      <c r="D9" s="39"/>
      <c r="E9" s="39"/>
      <c r="F9" s="39"/>
      <c r="G9" s="39"/>
    </row>
    <row r="10" spans="1:7" x14ac:dyDescent="0.25">
      <c r="B10" s="5">
        <v>2</v>
      </c>
      <c r="C10" s="39">
        <v>2.5</v>
      </c>
      <c r="D10" s="39"/>
      <c r="E10" s="39"/>
      <c r="F10" s="39"/>
      <c r="G10" s="39"/>
    </row>
    <row r="11" spans="1:7" x14ac:dyDescent="0.25">
      <c r="A11">
        <v>4</v>
      </c>
      <c r="B11" s="5" t="s">
        <v>53</v>
      </c>
      <c r="C11" s="39"/>
      <c r="D11" s="39"/>
      <c r="E11" s="39"/>
      <c r="F11" s="39"/>
      <c r="G11" s="39"/>
    </row>
    <row r="12" spans="1:7" x14ac:dyDescent="0.25">
      <c r="B12" s="5">
        <v>1</v>
      </c>
      <c r="C12" s="39">
        <v>3</v>
      </c>
      <c r="D12" s="39"/>
      <c r="E12" s="39"/>
      <c r="F12" s="39"/>
      <c r="G12" s="39"/>
    </row>
    <row r="13" spans="1:7" x14ac:dyDescent="0.25">
      <c r="B13" s="5">
        <v>2</v>
      </c>
      <c r="C13" s="39">
        <v>2.8</v>
      </c>
      <c r="D13" s="39"/>
      <c r="E13" s="39"/>
      <c r="F13" s="39"/>
      <c r="G13" s="39"/>
    </row>
    <row r="14" spans="1:7" x14ac:dyDescent="0.25">
      <c r="A14">
        <v>5</v>
      </c>
      <c r="B14" s="5" t="s">
        <v>54</v>
      </c>
      <c r="C14" s="39"/>
      <c r="D14" s="39"/>
      <c r="E14" s="39"/>
      <c r="F14" s="39"/>
      <c r="G14" s="39"/>
    </row>
    <row r="15" spans="1:7" x14ac:dyDescent="0.25">
      <c r="B15" s="5">
        <v>1</v>
      </c>
      <c r="C15" s="39">
        <v>3.6</v>
      </c>
      <c r="D15" s="39"/>
      <c r="E15" s="39"/>
      <c r="F15" s="39"/>
      <c r="G15" s="39"/>
    </row>
    <row r="16" spans="1:7" x14ac:dyDescent="0.25">
      <c r="B16" s="5">
        <v>2</v>
      </c>
      <c r="C16" s="39">
        <v>3.4</v>
      </c>
      <c r="D16" s="39"/>
      <c r="E16" s="39"/>
      <c r="F16" s="39"/>
      <c r="G16" s="39"/>
    </row>
    <row r="17" spans="1:7" x14ac:dyDescent="0.25">
      <c r="A17">
        <v>6</v>
      </c>
      <c r="B17" s="5" t="s">
        <v>55</v>
      </c>
      <c r="C17" s="39"/>
      <c r="D17" s="39"/>
      <c r="E17" s="39"/>
      <c r="F17" s="39"/>
      <c r="G17" s="39"/>
    </row>
    <row r="18" spans="1:7" x14ac:dyDescent="0.25">
      <c r="B18" s="5">
        <v>1</v>
      </c>
      <c r="C18" s="39">
        <v>2.9</v>
      </c>
      <c r="D18" s="39"/>
      <c r="E18" s="39"/>
      <c r="F18" s="39"/>
      <c r="G18" s="39"/>
    </row>
    <row r="19" spans="1:7" x14ac:dyDescent="0.25">
      <c r="B19" s="5">
        <v>2</v>
      </c>
      <c r="C19" s="39">
        <v>2.6</v>
      </c>
      <c r="D19" s="39"/>
      <c r="E19" s="39"/>
      <c r="F19" s="39"/>
      <c r="G19" s="39"/>
    </row>
    <row r="20" spans="1:7" x14ac:dyDescent="0.25">
      <c r="A20">
        <v>7</v>
      </c>
      <c r="B20" s="5" t="s">
        <v>56</v>
      </c>
      <c r="C20" s="39"/>
      <c r="D20" s="39"/>
      <c r="E20" s="39"/>
      <c r="F20" s="39"/>
      <c r="G20" s="39"/>
    </row>
    <row r="21" spans="1:7" x14ac:dyDescent="0.25">
      <c r="B21" s="5">
        <v>1</v>
      </c>
      <c r="C21" s="39">
        <v>3.7</v>
      </c>
      <c r="D21" s="39"/>
      <c r="E21" s="39"/>
      <c r="F21" s="39"/>
      <c r="G21" s="39"/>
    </row>
    <row r="22" spans="1:7" x14ac:dyDescent="0.25">
      <c r="B22" s="5">
        <v>2</v>
      </c>
      <c r="C22" s="39">
        <v>3.6</v>
      </c>
      <c r="D22" s="39"/>
      <c r="E22" s="39"/>
      <c r="F22" s="39"/>
      <c r="G22" s="39"/>
    </row>
    <row r="23" spans="1:7" x14ac:dyDescent="0.25">
      <c r="A23">
        <v>8</v>
      </c>
      <c r="B23" s="5" t="s">
        <v>57</v>
      </c>
      <c r="C23" s="39"/>
      <c r="D23" s="39"/>
      <c r="E23" s="39"/>
      <c r="F23" s="39"/>
      <c r="G23" s="39"/>
    </row>
    <row r="24" spans="1:7" x14ac:dyDescent="0.25">
      <c r="B24" s="5">
        <v>1</v>
      </c>
      <c r="C24" s="39">
        <v>2.4</v>
      </c>
      <c r="D24" s="39"/>
      <c r="E24" s="39"/>
      <c r="F24" s="39"/>
      <c r="G24" s="39"/>
    </row>
    <row r="25" spans="1:7" x14ac:dyDescent="0.25">
      <c r="B25" s="5">
        <v>2</v>
      </c>
      <c r="C25" s="39">
        <v>2.4</v>
      </c>
      <c r="D25" s="39"/>
      <c r="E25" s="39"/>
      <c r="F25" s="39"/>
      <c r="G25" s="39"/>
    </row>
    <row r="26" spans="1:7" x14ac:dyDescent="0.25">
      <c r="A26">
        <v>9</v>
      </c>
      <c r="B26" s="5" t="s">
        <v>58</v>
      </c>
      <c r="C26" s="39"/>
      <c r="D26" s="39"/>
      <c r="E26" s="39"/>
      <c r="F26" s="39"/>
      <c r="G26" s="39"/>
    </row>
    <row r="27" spans="1:7" x14ac:dyDescent="0.25">
      <c r="B27" s="5">
        <v>1</v>
      </c>
      <c r="C27" s="39">
        <v>3.2</v>
      </c>
      <c r="D27" s="39"/>
      <c r="E27" s="39"/>
      <c r="F27" s="39"/>
      <c r="G27" s="39"/>
    </row>
    <row r="28" spans="1:7" x14ac:dyDescent="0.25">
      <c r="B28" s="5">
        <v>2</v>
      </c>
      <c r="C28" s="39">
        <v>3.3</v>
      </c>
      <c r="D28" s="39"/>
      <c r="E28" s="39"/>
      <c r="F28" s="39"/>
      <c r="G28" s="39"/>
    </row>
    <row r="29" spans="1:7" x14ac:dyDescent="0.25">
      <c r="A29">
        <v>10</v>
      </c>
      <c r="B29" s="5" t="s">
        <v>59</v>
      </c>
      <c r="C29" s="39"/>
      <c r="D29" s="39"/>
      <c r="E29" s="39"/>
      <c r="F29" s="39"/>
      <c r="G29" s="39"/>
    </row>
    <row r="30" spans="1:7" x14ac:dyDescent="0.25">
      <c r="B30" s="5">
        <v>1</v>
      </c>
      <c r="C30" s="39">
        <v>2.4</v>
      </c>
      <c r="D30" s="39"/>
      <c r="E30" s="39"/>
      <c r="F30" s="39"/>
      <c r="G30" s="39"/>
    </row>
    <row r="31" spans="1:7" x14ac:dyDescent="0.25">
      <c r="B31" s="5">
        <v>2</v>
      </c>
      <c r="C31" s="39">
        <v>2.1</v>
      </c>
      <c r="D31" s="39"/>
      <c r="E31" s="39"/>
      <c r="F31" s="39"/>
      <c r="G31" s="39"/>
    </row>
  </sheetData>
  <mergeCells count="30">
    <mergeCell ref="C2:G2"/>
    <mergeCell ref="C5:G5"/>
    <mergeCell ref="C8:G8"/>
    <mergeCell ref="C11:G11"/>
    <mergeCell ref="C14:G14"/>
    <mergeCell ref="C3:G3"/>
    <mergeCell ref="C4:G4"/>
    <mergeCell ref="C6:G6"/>
    <mergeCell ref="C7:G7"/>
    <mergeCell ref="C9:G9"/>
    <mergeCell ref="C10:G10"/>
    <mergeCell ref="C12:G12"/>
    <mergeCell ref="C13:G13"/>
    <mergeCell ref="C15:G15"/>
    <mergeCell ref="C16:G16"/>
    <mergeCell ref="C18:G18"/>
    <mergeCell ref="C17:G17"/>
    <mergeCell ref="C27:G27"/>
    <mergeCell ref="C28:G28"/>
    <mergeCell ref="C30:G30"/>
    <mergeCell ref="C31:G31"/>
    <mergeCell ref="C19:G19"/>
    <mergeCell ref="C21:G21"/>
    <mergeCell ref="C22:G22"/>
    <mergeCell ref="C24:G24"/>
    <mergeCell ref="C25:G25"/>
    <mergeCell ref="C20:G20"/>
    <mergeCell ref="C23:G23"/>
    <mergeCell ref="C26:G26"/>
    <mergeCell ref="C29:G29"/>
  </mergeCells>
  <conditionalFormatting sqref="C2:G31">
    <cfRule type="dataBar" priority="1">
      <dataBar>
        <cfvo type="num" val="0"/>
        <cfvo type="num" val="5"/>
        <color rgb="FFFF555A"/>
      </dataBar>
      <extLst>
        <ext xmlns:x14="http://schemas.microsoft.com/office/spreadsheetml/2009/9/main" uri="{B025F937-C7B1-47D3-B67F-A62EFF666E3E}">
          <x14:id>{74061481-5E91-4959-9E27-282DCA262C90}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061481-5E91-4959-9E27-282DCA262C90}">
            <x14:dataBar minLength="0" maxLength="100" gradient="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C2:G31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B784-819E-4358-86BC-44B4C7895F38}">
  <dimension ref="A1:AC27"/>
  <sheetViews>
    <sheetView topLeftCell="A20" workbookViewId="0">
      <selection activeCell="M25" sqref="A21:M25"/>
    </sheetView>
  </sheetViews>
  <sheetFormatPr defaultRowHeight="13.5" x14ac:dyDescent="0.25"/>
  <cols>
    <col min="1" max="1" width="12.7109375" customWidth="1"/>
    <col min="2" max="2" width="11.85546875" customWidth="1"/>
    <col min="3" max="9" width="6" bestFit="1" customWidth="1"/>
    <col min="10" max="10" width="6.28515625" bestFit="1" customWidth="1"/>
    <col min="11" max="14" width="6" bestFit="1" customWidth="1"/>
    <col min="15" max="15" width="6.42578125" bestFit="1" customWidth="1"/>
    <col min="16" max="17" width="6" bestFit="1" customWidth="1"/>
    <col min="18" max="18" width="7.140625" bestFit="1" customWidth="1"/>
    <col min="19" max="19" width="6.7109375" bestFit="1" customWidth="1"/>
  </cols>
  <sheetData>
    <row r="1" spans="1:20" ht="15" x14ac:dyDescent="0.25">
      <c r="A1" s="42" t="s">
        <v>102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0"/>
    </row>
    <row r="2" spans="1:20" ht="48.75" x14ac:dyDescent="0.25">
      <c r="A2" s="43" t="s">
        <v>101</v>
      </c>
      <c r="B2" s="43"/>
      <c r="C2" s="21" t="s">
        <v>110</v>
      </c>
      <c r="D2" s="22" t="s">
        <v>111</v>
      </c>
      <c r="E2" s="22" t="s">
        <v>112</v>
      </c>
      <c r="F2" s="22" t="s">
        <v>113</v>
      </c>
      <c r="G2" s="22" t="s">
        <v>114</v>
      </c>
      <c r="H2" s="22" t="s">
        <v>115</v>
      </c>
      <c r="I2" s="22" t="s">
        <v>116</v>
      </c>
      <c r="J2" s="22" t="s">
        <v>117</v>
      </c>
      <c r="K2" s="22" t="s">
        <v>118</v>
      </c>
      <c r="L2" s="22" t="s">
        <v>119</v>
      </c>
      <c r="M2" s="22" t="s">
        <v>120</v>
      </c>
      <c r="N2" s="22" t="s">
        <v>121</v>
      </c>
      <c r="O2" s="22" t="s">
        <v>122</v>
      </c>
      <c r="P2" s="22" t="s">
        <v>123</v>
      </c>
      <c r="Q2" s="22" t="s">
        <v>124</v>
      </c>
      <c r="R2" s="22" t="s">
        <v>125</v>
      </c>
      <c r="S2" s="22" t="s">
        <v>126</v>
      </c>
      <c r="T2" s="20"/>
    </row>
    <row r="3" spans="1:20" ht="36" customHeight="1" x14ac:dyDescent="0.25">
      <c r="A3" s="40" t="s">
        <v>127</v>
      </c>
      <c r="B3" s="23" t="s">
        <v>103</v>
      </c>
      <c r="C3" s="25">
        <v>0.46364937314997712</v>
      </c>
      <c r="D3" s="24">
        <v>0.15404696929832795</v>
      </c>
      <c r="E3" s="24">
        <v>0.41426268241166792</v>
      </c>
      <c r="F3" s="26" t="s">
        <v>134</v>
      </c>
      <c r="G3" s="24">
        <v>0.37874535571875695</v>
      </c>
      <c r="H3" s="24">
        <v>0.44311868237151386</v>
      </c>
      <c r="I3" s="26" t="s">
        <v>136</v>
      </c>
      <c r="J3" s="26" t="s">
        <v>137</v>
      </c>
      <c r="K3" s="26" t="s">
        <v>139</v>
      </c>
      <c r="L3" s="24">
        <v>0.31693284552319362</v>
      </c>
      <c r="M3" s="24">
        <v>5.7735026918962595E-2</v>
      </c>
      <c r="N3" s="24">
        <v>-1.9462473604038077E-2</v>
      </c>
      <c r="O3" s="24">
        <v>-7.8573408274077494E-2</v>
      </c>
      <c r="P3" s="24">
        <v>0.46494781490854992</v>
      </c>
      <c r="Q3" s="24">
        <v>-0.50257627099104596</v>
      </c>
      <c r="R3" s="26" t="s">
        <v>140</v>
      </c>
      <c r="S3" s="26" t="s">
        <v>141</v>
      </c>
      <c r="T3" s="20"/>
    </row>
    <row r="4" spans="1:20" s="31" customFormat="1" x14ac:dyDescent="0.25">
      <c r="A4" s="41"/>
      <c r="B4" s="29" t="s">
        <v>104</v>
      </c>
      <c r="C4" s="27">
        <v>0.11052811101644966</v>
      </c>
      <c r="D4" s="28">
        <v>0.61533252896302981</v>
      </c>
      <c r="E4" s="28">
        <v>0.159327997853598</v>
      </c>
      <c r="F4" s="28">
        <v>4.1560883653853379E-3</v>
      </c>
      <c r="G4" s="28">
        <v>0.20188968699948562</v>
      </c>
      <c r="H4" s="28">
        <v>0.12938783487139635</v>
      </c>
      <c r="I4" s="28">
        <v>2.5878313826142842E-2</v>
      </c>
      <c r="J4" s="28">
        <v>3.2247200290305811E-2</v>
      </c>
      <c r="K4" s="28">
        <v>3.2247200290305825E-2</v>
      </c>
      <c r="L4" s="28">
        <v>0.29138442574632323</v>
      </c>
      <c r="M4" s="28">
        <v>0.85138945894233431</v>
      </c>
      <c r="N4" s="28">
        <v>0.94968113399458653</v>
      </c>
      <c r="O4" s="28">
        <v>0.79860867827752313</v>
      </c>
      <c r="P4" s="28">
        <v>0.10940172233331542</v>
      </c>
      <c r="Q4" s="28">
        <v>8.0052119660085685E-2</v>
      </c>
      <c r="R4" s="28">
        <v>4.1832023167925211E-2</v>
      </c>
      <c r="S4" s="28">
        <v>1.1065643887712603E-2</v>
      </c>
      <c r="T4" s="30"/>
    </row>
    <row r="5" spans="1:20" ht="24" x14ac:dyDescent="0.25">
      <c r="A5" s="40" t="s">
        <v>128</v>
      </c>
      <c r="B5" s="23" t="s">
        <v>103</v>
      </c>
      <c r="C5" s="25">
        <v>0.22524048379058542</v>
      </c>
      <c r="D5" s="24">
        <v>0.19245008972987521</v>
      </c>
      <c r="E5" s="24">
        <v>4.5017650379101222E-2</v>
      </c>
      <c r="F5" s="24">
        <v>5.5568313749673824E-2</v>
      </c>
      <c r="G5" s="24">
        <v>0.17538544561354197</v>
      </c>
      <c r="H5" s="24">
        <v>-0.1932778358712671</v>
      </c>
      <c r="I5" s="24">
        <v>0.12309149097933285</v>
      </c>
      <c r="J5" s="24">
        <v>1.439780709302268E-2</v>
      </c>
      <c r="K5" s="24">
        <v>-1.439780709302268E-2</v>
      </c>
      <c r="L5" s="24">
        <v>7.4239233864562396E-2</v>
      </c>
      <c r="M5" s="24">
        <v>-0.42600643361512913</v>
      </c>
      <c r="N5" s="24">
        <v>-0.12309149097933272</v>
      </c>
      <c r="O5" s="24">
        <v>-1.8405254345807771E-2</v>
      </c>
      <c r="P5" s="24">
        <v>-0.24504901470490162</v>
      </c>
      <c r="Q5" s="24">
        <v>7.1428571428571425E-2</v>
      </c>
      <c r="R5" s="24">
        <v>-0.19102329436458526</v>
      </c>
      <c r="S5" s="24">
        <v>0.41256849850351729</v>
      </c>
      <c r="T5" s="20"/>
    </row>
    <row r="6" spans="1:20" s="31" customFormat="1" x14ac:dyDescent="0.25">
      <c r="A6" s="41"/>
      <c r="B6" s="29" t="s">
        <v>104</v>
      </c>
      <c r="C6" s="27">
        <v>0.45937521777206447</v>
      </c>
      <c r="D6" s="28">
        <v>0.52875711610146592</v>
      </c>
      <c r="E6" s="28">
        <v>0.88389712822931443</v>
      </c>
      <c r="F6" s="28">
        <v>0.85691402144289119</v>
      </c>
      <c r="G6" s="28">
        <v>0.56656560261687716</v>
      </c>
      <c r="H6" s="28">
        <v>0.52695162199850498</v>
      </c>
      <c r="I6" s="28">
        <v>0.68869753613518037</v>
      </c>
      <c r="J6" s="28">
        <v>0.96276590042520671</v>
      </c>
      <c r="K6" s="28">
        <v>0.96276590042520671</v>
      </c>
      <c r="L6" s="28">
        <v>0.80952912320059567</v>
      </c>
      <c r="M6" s="28">
        <v>0.14664986547847689</v>
      </c>
      <c r="N6" s="28">
        <v>0.68869753613517948</v>
      </c>
      <c r="O6" s="28">
        <v>0.95241164347527663</v>
      </c>
      <c r="P6" s="28">
        <v>0.41970826229532343</v>
      </c>
      <c r="Q6" s="28">
        <v>0.81662804067597039</v>
      </c>
      <c r="R6" s="28">
        <v>0.53187557671635766</v>
      </c>
      <c r="S6" s="28">
        <v>0.16121356547164642</v>
      </c>
      <c r="T6" s="30"/>
    </row>
    <row r="7" spans="1:20" ht="24" x14ac:dyDescent="0.25">
      <c r="A7" s="40" t="s">
        <v>129</v>
      </c>
      <c r="B7" s="23" t="s">
        <v>103</v>
      </c>
      <c r="C7" s="25">
        <v>0.38248384039910749</v>
      </c>
      <c r="D7" s="24">
        <v>0.12028130608117207</v>
      </c>
      <c r="E7" s="24">
        <v>0.40365826506594121</v>
      </c>
      <c r="F7" s="24">
        <v>0.50264065619023157</v>
      </c>
      <c r="G7" s="24">
        <v>0.51461782068184014</v>
      </c>
      <c r="H7" s="26" t="s">
        <v>135</v>
      </c>
      <c r="I7" s="24">
        <v>-0.52313883666216454</v>
      </c>
      <c r="J7" s="26" t="s">
        <v>138</v>
      </c>
      <c r="K7" s="24">
        <v>-0.54711666953486149</v>
      </c>
      <c r="L7" s="24">
        <v>0.40831578625509313</v>
      </c>
      <c r="M7" s="24">
        <v>0.22821773229381934</v>
      </c>
      <c r="N7" s="24">
        <v>0.38978972143455354</v>
      </c>
      <c r="O7" s="24">
        <v>-0.10122889890194267</v>
      </c>
      <c r="P7" s="26" t="s">
        <v>109</v>
      </c>
      <c r="Q7" s="24">
        <v>-0.53571428571428592</v>
      </c>
      <c r="R7" s="26" t="s">
        <v>107</v>
      </c>
      <c r="S7" s="26" t="s">
        <v>142</v>
      </c>
      <c r="T7" s="20"/>
    </row>
    <row r="8" spans="1:20" s="31" customFormat="1" x14ac:dyDescent="0.25">
      <c r="A8" s="41"/>
      <c r="B8" s="29" t="s">
        <v>104</v>
      </c>
      <c r="C8" s="27">
        <v>0.19710750546296693</v>
      </c>
      <c r="D8" s="28">
        <v>0.69549517432203345</v>
      </c>
      <c r="E8" s="28">
        <v>0.17136710515438686</v>
      </c>
      <c r="F8" s="28">
        <v>8.0007191919171841E-2</v>
      </c>
      <c r="G8" s="28">
        <v>7.1950768878084354E-2</v>
      </c>
      <c r="H8" s="28">
        <v>4.4805707951039803E-2</v>
      </c>
      <c r="I8" s="28">
        <v>6.6576776570153623E-2</v>
      </c>
      <c r="J8" s="28">
        <v>1.8303860852448655E-2</v>
      </c>
      <c r="K8" s="28">
        <v>5.2978673690952049E-2</v>
      </c>
      <c r="L8" s="28">
        <v>0.1660099578330278</v>
      </c>
      <c r="M8" s="28">
        <v>0.45330149202694103</v>
      </c>
      <c r="N8" s="28">
        <v>0.18796839134601287</v>
      </c>
      <c r="O8" s="28">
        <v>0.74211314787486293</v>
      </c>
      <c r="P8" s="28">
        <v>7.7047944111546026E-3</v>
      </c>
      <c r="Q8" s="28">
        <v>5.9171061884489222E-2</v>
      </c>
      <c r="R8" s="28">
        <v>7.4399124129901385E-3</v>
      </c>
      <c r="S8" s="28">
        <v>1.6578871723449515E-4</v>
      </c>
      <c r="T8" s="30"/>
    </row>
    <row r="9" spans="1:20" ht="24" x14ac:dyDescent="0.25">
      <c r="A9" s="40" t="s">
        <v>130</v>
      </c>
      <c r="B9" s="23" t="s">
        <v>103</v>
      </c>
      <c r="C9" s="25">
        <v>8.9744242778906996E-2</v>
      </c>
      <c r="D9" s="24">
        <v>-6.3500063500095252E-2</v>
      </c>
      <c r="E9" s="24">
        <v>0.19541057317279975</v>
      </c>
      <c r="F9" s="24">
        <v>0.13334617469439924</v>
      </c>
      <c r="G9" s="24">
        <v>8.7311849485760221E-2</v>
      </c>
      <c r="H9" s="24">
        <v>0.39681091839328714</v>
      </c>
      <c r="I9" s="24">
        <v>-0.3339437226622276</v>
      </c>
      <c r="J9" s="24">
        <v>0.13935219360649956</v>
      </c>
      <c r="K9" s="24">
        <v>-0.38638562772711249</v>
      </c>
      <c r="L9" s="24">
        <v>0.2939481756261077</v>
      </c>
      <c r="M9" s="24">
        <v>5.3547955260166598E-2</v>
      </c>
      <c r="N9" s="24">
        <v>-0.13538259026847063</v>
      </c>
      <c r="O9" s="24">
        <v>-7.2875091178267126E-2</v>
      </c>
      <c r="P9" s="24">
        <v>0.36449098631660426</v>
      </c>
      <c r="Q9" s="24">
        <v>-0.32995600879804488</v>
      </c>
      <c r="R9" s="24">
        <v>0.5289516365624477</v>
      </c>
      <c r="S9" s="24">
        <v>-0.52939232547453274</v>
      </c>
      <c r="T9" s="20"/>
    </row>
    <row r="10" spans="1:20" s="31" customFormat="1" x14ac:dyDescent="0.25">
      <c r="A10" s="41"/>
      <c r="B10" s="29" t="s">
        <v>104</v>
      </c>
      <c r="C10" s="27">
        <v>0.77062179446799706</v>
      </c>
      <c r="D10" s="28">
        <v>0.83672108591599614</v>
      </c>
      <c r="E10" s="28">
        <v>0.52231211285969747</v>
      </c>
      <c r="F10" s="28">
        <v>0.6640774165073382</v>
      </c>
      <c r="G10" s="28">
        <v>0.77669524666392986</v>
      </c>
      <c r="H10" s="28">
        <v>0.17944177690255073</v>
      </c>
      <c r="I10" s="28">
        <v>0.26479477432881454</v>
      </c>
      <c r="J10" s="28">
        <v>0.64979880404860557</v>
      </c>
      <c r="K10" s="28">
        <v>0.19219273291706648</v>
      </c>
      <c r="L10" s="28">
        <v>0.32964845242338475</v>
      </c>
      <c r="M10" s="28">
        <v>0.86207083491881387</v>
      </c>
      <c r="N10" s="28">
        <v>0.65922408455376125</v>
      </c>
      <c r="O10" s="28">
        <v>0.8129729091747635</v>
      </c>
      <c r="P10" s="28">
        <v>0.22078212610677861</v>
      </c>
      <c r="Q10" s="28">
        <v>0.2708949078722907</v>
      </c>
      <c r="R10" s="28">
        <v>6.3076945924971872E-2</v>
      </c>
      <c r="S10" s="28">
        <v>6.2817022404483211E-2</v>
      </c>
      <c r="T10" s="30"/>
    </row>
    <row r="11" spans="1:20" ht="24" x14ac:dyDescent="0.25">
      <c r="A11" s="40" t="s">
        <v>131</v>
      </c>
      <c r="B11" s="23" t="s">
        <v>103</v>
      </c>
      <c r="C11" s="25">
        <v>0.12868671691995451</v>
      </c>
      <c r="D11" s="24">
        <v>5.3300179088902645E-2</v>
      </c>
      <c r="E11" s="24">
        <v>-0.13520746881541737</v>
      </c>
      <c r="F11" s="24">
        <v>0.44584276231812936</v>
      </c>
      <c r="G11" s="24">
        <v>-0.18406999323455669</v>
      </c>
      <c r="H11" s="24">
        <v>-0.26169942689718328</v>
      </c>
      <c r="I11" s="24">
        <v>-1.5151515151515098E-2</v>
      </c>
      <c r="J11" s="24">
        <v>0.15950227877216755</v>
      </c>
      <c r="K11" s="24">
        <v>-0.15950227877216752</v>
      </c>
      <c r="L11" s="24">
        <v>0.25221481640124499</v>
      </c>
      <c r="M11" s="26" t="s">
        <v>108</v>
      </c>
      <c r="N11" s="24">
        <v>1.5151515151515117E-2</v>
      </c>
      <c r="O11" s="24">
        <v>-2.7186362391351859E-2</v>
      </c>
      <c r="P11" s="24">
        <v>8.6181281665836551E-2</v>
      </c>
      <c r="Q11" s="24">
        <v>-0.23739073260299898</v>
      </c>
      <c r="R11" s="24">
        <v>0.14937887931959073</v>
      </c>
      <c r="S11" s="24">
        <v>0.1142632611267807</v>
      </c>
      <c r="T11" s="20"/>
    </row>
    <row r="12" spans="1:20" s="31" customFormat="1" x14ac:dyDescent="0.25">
      <c r="A12" s="41"/>
      <c r="B12" s="29" t="s">
        <v>104</v>
      </c>
      <c r="C12" s="27">
        <v>0.67522739190900316</v>
      </c>
      <c r="D12" s="28">
        <v>0.86270361557076847</v>
      </c>
      <c r="E12" s="28">
        <v>0.65964096737551203</v>
      </c>
      <c r="F12" s="28">
        <v>0.12677055925820918</v>
      </c>
      <c r="G12" s="28">
        <v>0.54718594050057556</v>
      </c>
      <c r="H12" s="28">
        <v>0.38775565695089265</v>
      </c>
      <c r="I12" s="28">
        <v>0.96081804846063057</v>
      </c>
      <c r="J12" s="28">
        <v>0.60271539447766787</v>
      </c>
      <c r="K12" s="28">
        <v>0.60271539447766775</v>
      </c>
      <c r="L12" s="28">
        <v>0.40579811237848007</v>
      </c>
      <c r="M12" s="28">
        <v>2.1207405677154519E-2</v>
      </c>
      <c r="N12" s="28">
        <v>0.96081804846063057</v>
      </c>
      <c r="O12" s="28">
        <v>0.92974952454833826</v>
      </c>
      <c r="P12" s="28">
        <v>0.77952217056099404</v>
      </c>
      <c r="Q12" s="28">
        <v>0.43483503042171368</v>
      </c>
      <c r="R12" s="28">
        <v>0.62620698725773405</v>
      </c>
      <c r="S12" s="28">
        <v>0.7101225231019771</v>
      </c>
      <c r="T12" s="30"/>
    </row>
    <row r="13" spans="1:20" ht="36" customHeight="1" x14ac:dyDescent="0.25">
      <c r="A13" s="40" t="s">
        <v>132</v>
      </c>
      <c r="B13" s="23" t="s">
        <v>103</v>
      </c>
      <c r="C13" s="25">
        <v>-0.10624551122197431</v>
      </c>
      <c r="D13" s="24">
        <v>0.34881578763539889</v>
      </c>
      <c r="E13" s="24">
        <v>8.4032947374322278E-2</v>
      </c>
      <c r="F13" s="24">
        <v>0.25258324431669915</v>
      </c>
      <c r="G13" s="24">
        <v>0.11538516158785654</v>
      </c>
      <c r="H13" s="24">
        <v>9.6638917935633548E-2</v>
      </c>
      <c r="I13" s="24">
        <v>0.12309149097933285</v>
      </c>
      <c r="J13" s="24">
        <v>0.20156929930231732</v>
      </c>
      <c r="K13" s="24">
        <v>-0.20156929930231732</v>
      </c>
      <c r="L13" s="24">
        <v>-0.11878277418329972</v>
      </c>
      <c r="M13" s="24">
        <v>0.36514837167011072</v>
      </c>
      <c r="N13" s="24">
        <v>-0.12309149097933272</v>
      </c>
      <c r="O13" s="24">
        <v>-0.2576735608413086</v>
      </c>
      <c r="P13" s="24">
        <v>5.8345003501167149E-2</v>
      </c>
      <c r="Q13" s="24">
        <v>-0.23809523809523817</v>
      </c>
      <c r="R13" s="24">
        <v>-4.4946657497549489E-2</v>
      </c>
      <c r="S13" s="24">
        <v>-3.4380708208626473E-2</v>
      </c>
      <c r="T13" s="20"/>
    </row>
    <row r="14" spans="1:20" s="31" customFormat="1" x14ac:dyDescent="0.25">
      <c r="A14" s="41"/>
      <c r="B14" s="29" t="s">
        <v>104</v>
      </c>
      <c r="C14" s="27">
        <v>0.72975250724738716</v>
      </c>
      <c r="D14" s="28">
        <v>0.24276609836982799</v>
      </c>
      <c r="E14" s="28">
        <v>0.78490082393311034</v>
      </c>
      <c r="F14" s="28">
        <v>0.40508936957937713</v>
      </c>
      <c r="G14" s="28">
        <v>0.70738854324419276</v>
      </c>
      <c r="H14" s="28">
        <v>0.75347277804177049</v>
      </c>
      <c r="I14" s="28">
        <v>0.68869753613518037</v>
      </c>
      <c r="J14" s="28">
        <v>0.50901641867187675</v>
      </c>
      <c r="K14" s="28">
        <v>0.50901641867187675</v>
      </c>
      <c r="L14" s="28">
        <v>0.69912863592352825</v>
      </c>
      <c r="M14" s="28">
        <v>0.21988784312755788</v>
      </c>
      <c r="N14" s="28">
        <v>0.68869753613517948</v>
      </c>
      <c r="O14" s="28">
        <v>0.39536223135559279</v>
      </c>
      <c r="P14" s="28">
        <v>0.84983529043810435</v>
      </c>
      <c r="Q14" s="28">
        <v>0.43343235419164461</v>
      </c>
      <c r="R14" s="28">
        <v>0.88407911338564182</v>
      </c>
      <c r="S14" s="28">
        <v>0.91121806527072291</v>
      </c>
      <c r="T14" s="30"/>
    </row>
    <row r="15" spans="1:20" ht="24" x14ac:dyDescent="0.25">
      <c r="A15" s="40" t="s">
        <v>133</v>
      </c>
      <c r="B15" s="23" t="s">
        <v>103</v>
      </c>
      <c r="C15" s="25">
        <v>4.2498204488789501E-3</v>
      </c>
      <c r="D15" s="24">
        <v>-0.120281306081172</v>
      </c>
      <c r="E15" s="24">
        <v>0.12304824436954334</v>
      </c>
      <c r="F15" s="24">
        <v>-0.27278990386203505</v>
      </c>
      <c r="G15" s="24">
        <v>-4.6154064635142182E-3</v>
      </c>
      <c r="H15" s="24">
        <v>-3.5763583922333786E-17</v>
      </c>
      <c r="I15" s="24">
        <v>-0.4103049699311091</v>
      </c>
      <c r="J15" s="24">
        <v>-0.35994517732556669</v>
      </c>
      <c r="K15" s="24">
        <v>0.17277368511627203</v>
      </c>
      <c r="L15" s="24">
        <v>-0.3118047822311617</v>
      </c>
      <c r="M15" s="24">
        <v>-3.0429030972509253E-2</v>
      </c>
      <c r="N15" s="24">
        <v>-0.12309149097933272</v>
      </c>
      <c r="O15" s="24">
        <v>-1.8405254345807771E-2</v>
      </c>
      <c r="P15" s="24">
        <v>-9.3352005601867294E-2</v>
      </c>
      <c r="Q15" s="24">
        <v>0.38095238095238093</v>
      </c>
      <c r="R15" s="24">
        <v>-0.19102329436458529</v>
      </c>
      <c r="S15" s="24">
        <v>-3.4380708208626473E-2</v>
      </c>
      <c r="T15" s="20"/>
    </row>
    <row r="16" spans="1:20" s="31" customFormat="1" x14ac:dyDescent="0.25">
      <c r="A16" s="41"/>
      <c r="B16" s="29" t="s">
        <v>104</v>
      </c>
      <c r="C16" s="27">
        <v>0.98900643989667825</v>
      </c>
      <c r="D16" s="28">
        <v>0.69549517432203312</v>
      </c>
      <c r="E16" s="28">
        <v>0.68880198520188884</v>
      </c>
      <c r="F16" s="28">
        <v>0.36720113514212471</v>
      </c>
      <c r="G16" s="28">
        <v>0.9880607893203377</v>
      </c>
      <c r="H16" s="28">
        <v>1</v>
      </c>
      <c r="I16" s="28">
        <v>0.16375519067799815</v>
      </c>
      <c r="J16" s="28">
        <v>0.22702702968439167</v>
      </c>
      <c r="K16" s="28">
        <v>0.5724482501242929</v>
      </c>
      <c r="L16" s="28">
        <v>0.29968994814127231</v>
      </c>
      <c r="M16" s="28">
        <v>0.92139238097691911</v>
      </c>
      <c r="N16" s="28">
        <v>0.68869753613517948</v>
      </c>
      <c r="O16" s="28">
        <v>0.95241164347527663</v>
      </c>
      <c r="P16" s="28">
        <v>0.76163577887215783</v>
      </c>
      <c r="Q16" s="28">
        <v>0.19905785304449969</v>
      </c>
      <c r="R16" s="28">
        <v>0.53187557671635777</v>
      </c>
      <c r="S16" s="28">
        <v>0.91121806527072291</v>
      </c>
      <c r="T16" s="30"/>
    </row>
    <row r="17" spans="1:29" x14ac:dyDescent="0.25">
      <c r="A17" s="44" t="s">
        <v>105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0"/>
    </row>
    <row r="18" spans="1:29" x14ac:dyDescent="0.25">
      <c r="A18" s="44" t="s">
        <v>106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0"/>
    </row>
    <row r="20" spans="1:29" ht="15" x14ac:dyDescent="0.25">
      <c r="A20" s="59" t="s">
        <v>102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2"/>
    </row>
    <row r="21" spans="1:29" ht="48.75" x14ac:dyDescent="0.25">
      <c r="A21" s="53" t="s">
        <v>101</v>
      </c>
      <c r="B21" s="54" t="s">
        <v>113</v>
      </c>
      <c r="C21" s="54" t="s">
        <v>114</v>
      </c>
      <c r="D21" s="54" t="s">
        <v>117</v>
      </c>
      <c r="E21" s="54" t="s">
        <v>118</v>
      </c>
      <c r="F21" s="54" t="s">
        <v>119</v>
      </c>
      <c r="G21" s="54" t="s">
        <v>121</v>
      </c>
      <c r="H21" s="54" t="s">
        <v>122</v>
      </c>
      <c r="I21" s="54" t="s">
        <v>123</v>
      </c>
      <c r="J21" s="54" t="s">
        <v>124</v>
      </c>
      <c r="K21" s="54" t="s">
        <v>125</v>
      </c>
      <c r="L21" s="54" t="s">
        <v>181</v>
      </c>
      <c r="M21" s="54" t="s">
        <v>126</v>
      </c>
      <c r="N21" s="52"/>
    </row>
    <row r="22" spans="1:29" ht="24" x14ac:dyDescent="0.25">
      <c r="A22" s="57" t="s">
        <v>130</v>
      </c>
      <c r="B22" s="55">
        <v>0.30372795738231495</v>
      </c>
      <c r="C22" s="55">
        <v>0.28825111998341063</v>
      </c>
      <c r="D22" s="56" t="s">
        <v>185</v>
      </c>
      <c r="E22" s="55">
        <v>-0.19338773729605546</v>
      </c>
      <c r="F22" s="56" t="s">
        <v>190</v>
      </c>
      <c r="G22" s="56" t="s">
        <v>191</v>
      </c>
      <c r="H22" s="55">
        <v>0.10757778875293535</v>
      </c>
      <c r="I22" s="55">
        <v>0.50890039678667831</v>
      </c>
      <c r="J22" s="55">
        <v>-0.43639644598671085</v>
      </c>
      <c r="K22" s="56" t="s">
        <v>197</v>
      </c>
      <c r="L22" s="55">
        <v>-0.49858412264608692</v>
      </c>
      <c r="M22" s="56" t="s">
        <v>200</v>
      </c>
      <c r="N22" s="52"/>
    </row>
    <row r="23" spans="1:29" ht="24" x14ac:dyDescent="0.25">
      <c r="A23" s="57" t="s">
        <v>132</v>
      </c>
      <c r="B23" s="55">
        <v>0.23359126602867575</v>
      </c>
      <c r="C23" s="55">
        <v>0.12886447256120945</v>
      </c>
      <c r="D23" s="55">
        <v>0.25000000000000006</v>
      </c>
      <c r="E23" s="55">
        <v>-0.4204545454545453</v>
      </c>
      <c r="F23" s="55">
        <v>-1.7324691235286438E-17</v>
      </c>
      <c r="G23" s="56" t="s">
        <v>192</v>
      </c>
      <c r="H23" s="56" t="s">
        <v>193</v>
      </c>
      <c r="I23" s="55">
        <v>0.10405177390868119</v>
      </c>
      <c r="J23" s="55">
        <v>-0.29578954665861412</v>
      </c>
      <c r="K23" s="55">
        <v>-3.5782813348225674E-2</v>
      </c>
      <c r="L23" s="55">
        <v>-0.16056834735448283</v>
      </c>
      <c r="M23" s="55">
        <v>-8.4717374208735735E-2</v>
      </c>
      <c r="N23" s="52"/>
    </row>
    <row r="24" spans="1:29" ht="36" x14ac:dyDescent="0.25">
      <c r="A24" s="57" t="s">
        <v>127</v>
      </c>
      <c r="B24" s="56" t="s">
        <v>183</v>
      </c>
      <c r="C24" s="55">
        <v>0.40488624629064085</v>
      </c>
      <c r="D24" s="56" t="s">
        <v>186</v>
      </c>
      <c r="E24" s="56" t="s">
        <v>188</v>
      </c>
      <c r="F24" s="55">
        <v>0.36596252735569984</v>
      </c>
      <c r="G24" s="55">
        <v>0.23145502494313774</v>
      </c>
      <c r="H24" s="55">
        <v>-6.56532164298613E-2</v>
      </c>
      <c r="I24" s="55">
        <v>0.48804608017886253</v>
      </c>
      <c r="J24" s="56" t="s">
        <v>195</v>
      </c>
      <c r="K24" s="56" t="s">
        <v>198</v>
      </c>
      <c r="L24" s="56" t="s">
        <v>203</v>
      </c>
      <c r="M24" s="56" t="s">
        <v>201</v>
      </c>
      <c r="N24" s="52"/>
    </row>
    <row r="25" spans="1:29" ht="36" x14ac:dyDescent="0.25">
      <c r="A25" s="57" t="s">
        <v>129</v>
      </c>
      <c r="B25" s="55">
        <v>0.43662532856722741</v>
      </c>
      <c r="C25" s="56" t="s">
        <v>184</v>
      </c>
      <c r="D25" s="56" t="s">
        <v>187</v>
      </c>
      <c r="E25" s="56" t="s">
        <v>189</v>
      </c>
      <c r="F25" s="55">
        <v>0.39694209301872252</v>
      </c>
      <c r="G25" s="55">
        <v>0.37657233394007539</v>
      </c>
      <c r="H25" s="55">
        <v>-0.14242182297397132</v>
      </c>
      <c r="I25" s="56" t="s">
        <v>194</v>
      </c>
      <c r="J25" s="56" t="s">
        <v>196</v>
      </c>
      <c r="K25" s="56" t="s">
        <v>199</v>
      </c>
      <c r="L25" s="56" t="s">
        <v>204</v>
      </c>
      <c r="M25" s="56" t="s">
        <v>202</v>
      </c>
      <c r="N25" s="52"/>
    </row>
    <row r="26" spans="1:29" ht="48" x14ac:dyDescent="0.25">
      <c r="A26" s="58" t="s">
        <v>106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2"/>
    </row>
    <row r="27" spans="1:29" ht="48" x14ac:dyDescent="0.25">
      <c r="A27" s="58" t="s">
        <v>105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2"/>
    </row>
  </sheetData>
  <mergeCells count="12">
    <mergeCell ref="A20:AB20"/>
    <mergeCell ref="A11:A12"/>
    <mergeCell ref="A13:A14"/>
    <mergeCell ref="A15:A16"/>
    <mergeCell ref="A17:S17"/>
    <mergeCell ref="A18:S18"/>
    <mergeCell ref="A3:A4"/>
    <mergeCell ref="A5:A6"/>
    <mergeCell ref="A7:A8"/>
    <mergeCell ref="A9:A10"/>
    <mergeCell ref="A1:S1"/>
    <mergeCell ref="A2:B2"/>
  </mergeCells>
  <conditionalFormatting sqref="A1:XFD1048576">
    <cfRule type="expression" dxfId="3" priority="1">
      <formula>ISNUMBER(SEARCH("~*~*",A1))</formula>
    </cfRule>
    <cfRule type="expression" dxfId="2" priority="2">
      <formula>ISNUMBER(SEARCH("~*",A1))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C2FA-95F9-4E9C-9D4D-CF50B3AED522}">
  <dimension ref="A1:J4"/>
  <sheetViews>
    <sheetView workbookViewId="0">
      <selection activeCell="J4" sqref="A1:J4"/>
    </sheetView>
  </sheetViews>
  <sheetFormatPr defaultRowHeight="13.5" x14ac:dyDescent="0.25"/>
  <sheetData>
    <row r="1" spans="1:10" ht="24.75" x14ac:dyDescent="0.25">
      <c r="A1" s="33" t="s">
        <v>101</v>
      </c>
      <c r="B1" s="22" t="s">
        <v>143</v>
      </c>
      <c r="C1" s="22" t="s">
        <v>144</v>
      </c>
      <c r="D1" s="22" t="s">
        <v>145</v>
      </c>
      <c r="E1" s="22" t="s">
        <v>146</v>
      </c>
      <c r="F1" s="22" t="s">
        <v>118</v>
      </c>
      <c r="G1" s="22" t="s">
        <v>149</v>
      </c>
      <c r="H1" s="22" t="s">
        <v>123</v>
      </c>
      <c r="I1" s="22" t="s">
        <v>147</v>
      </c>
      <c r="J1" s="22" t="s">
        <v>148</v>
      </c>
    </row>
    <row r="2" spans="1:10" ht="48" x14ac:dyDescent="0.25">
      <c r="A2" s="32" t="s">
        <v>127</v>
      </c>
      <c r="B2" s="26" t="s">
        <v>134</v>
      </c>
      <c r="C2" s="24">
        <v>0.44311868237151386</v>
      </c>
      <c r="D2" s="26" t="s">
        <v>136</v>
      </c>
      <c r="E2" s="26" t="s">
        <v>137</v>
      </c>
      <c r="F2" s="26" t="s">
        <v>139</v>
      </c>
      <c r="G2" s="24">
        <v>5.7735026918962595E-2</v>
      </c>
      <c r="H2" s="24">
        <v>0.46494781490854992</v>
      </c>
      <c r="I2" s="26" t="s">
        <v>140</v>
      </c>
      <c r="J2" s="26" t="s">
        <v>141</v>
      </c>
    </row>
    <row r="3" spans="1:10" ht="36" x14ac:dyDescent="0.25">
      <c r="A3" s="32" t="s">
        <v>129</v>
      </c>
      <c r="B3" s="24">
        <v>0.50264065619023157</v>
      </c>
      <c r="C3" s="26" t="s">
        <v>135</v>
      </c>
      <c r="D3" s="24">
        <v>-0.52313883666216454</v>
      </c>
      <c r="E3" s="26" t="s">
        <v>138</v>
      </c>
      <c r="F3" s="24">
        <v>-0.54711666953486149</v>
      </c>
      <c r="G3" s="24">
        <v>0.22821773229381934</v>
      </c>
      <c r="H3" s="26" t="s">
        <v>109</v>
      </c>
      <c r="I3" s="26" t="s">
        <v>107</v>
      </c>
      <c r="J3" s="26" t="s">
        <v>142</v>
      </c>
    </row>
    <row r="4" spans="1:10" ht="24" x14ac:dyDescent="0.25">
      <c r="A4" s="32" t="s">
        <v>131</v>
      </c>
      <c r="B4" s="24">
        <v>0.44584276231812936</v>
      </c>
      <c r="C4" s="24">
        <v>-0.26169942689718328</v>
      </c>
      <c r="D4" s="24">
        <v>-1.5151515151515098E-2</v>
      </c>
      <c r="E4" s="24">
        <v>0.15950227877216755</v>
      </c>
      <c r="F4" s="24">
        <v>-0.15950227877216752</v>
      </c>
      <c r="G4" s="26" t="s">
        <v>108</v>
      </c>
      <c r="H4" s="24">
        <v>8.6181281665836551E-2</v>
      </c>
      <c r="I4" s="24">
        <v>0.14937887931959073</v>
      </c>
      <c r="J4" s="24">
        <v>0.1142632611267807</v>
      </c>
    </row>
  </sheetData>
  <conditionalFormatting sqref="A1:J4">
    <cfRule type="expression" dxfId="1" priority="1">
      <formula>ISNUMBER(SEARCH("~*~*",A1))</formula>
    </cfRule>
    <cfRule type="expression" dxfId="0" priority="2">
      <formula>ISNUMBER(SEARCH("~*",A1))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242F9A966241B1ED689761A6DF8D" ma:contentTypeVersion="7" ma:contentTypeDescription="Create a new document." ma:contentTypeScope="" ma:versionID="131e16ea60c8c7e8b3b07ca9c5bc175f">
  <xsd:schema xmlns:xsd="http://www.w3.org/2001/XMLSchema" xmlns:xs="http://www.w3.org/2001/XMLSchema" xmlns:p="http://schemas.microsoft.com/office/2006/metadata/properties" xmlns:ns2="28b234d9-3731-4f7a-ac74-acc5751d9e70" targetNamespace="http://schemas.microsoft.com/office/2006/metadata/properties" ma:root="true" ma:fieldsID="e7750c782af0623cf64eafe41213c147" ns2:_="">
    <xsd:import namespace="28b234d9-3731-4f7a-ac74-acc5751d9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234d9-3731-4f7a-ac74-acc5751d9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153E4-2C9E-4764-BE26-BC92FEAA90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E1C856-21BD-412D-9800-972D5E696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3BEF1-181A-4216-A0CC-60B49D65E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234d9-3731-4f7a-ac74-acc5751d9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CodeBook</vt:lpstr>
      <vt:lpstr>Data</vt:lpstr>
      <vt:lpstr>Graphs</vt:lpstr>
      <vt:lpstr>Errors</vt:lpstr>
      <vt:lpstr>SUS</vt:lpstr>
      <vt:lpstr>Correlations</vt:lpstr>
      <vt:lpstr>Copy</vt:lpstr>
    </vt:vector>
  </TitlesOfParts>
  <Company>CHLA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Todd P</dc:creator>
  <cp:lastModifiedBy>TJ Matthews</cp:lastModifiedBy>
  <dcterms:created xsi:type="dcterms:W3CDTF">2019-04-15T23:32:03Z</dcterms:created>
  <dcterms:modified xsi:type="dcterms:W3CDTF">2020-04-15T13:10:28Z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0x010100EDF9242F9A966241B1ED689761A6DF8D</vt:lpwstr>
  </property>
</Properties>
</file>